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0\קבצים לאתר\"/>
    </mc:Choice>
  </mc:AlternateContent>
  <bookViews>
    <workbookView xWindow="0" yWindow="0" windowWidth="28800" windowHeight="11805" tabRatio="861" firstSheet="15" activeTab="15"/>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7" i="5" l="1"/>
  <c r="T47" i="5"/>
  <c r="V47" i="5"/>
  <c r="W47" i="5"/>
  <c r="S48" i="5"/>
  <c r="T48" i="5"/>
  <c r="U48" i="5"/>
  <c r="V48" i="5"/>
  <c r="W48" i="5"/>
  <c r="S49" i="5"/>
  <c r="T49" i="5"/>
  <c r="U49" i="5"/>
  <c r="V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W35" i="5"/>
  <c r="S36" i="5"/>
  <c r="T36" i="5"/>
  <c r="U36" i="5"/>
  <c r="V36" i="5"/>
  <c r="W36" i="5"/>
  <c r="S37" i="5"/>
  <c r="V37" i="5"/>
  <c r="W37" i="5"/>
  <c r="S38" i="5"/>
  <c r="T38" i="5"/>
  <c r="U38" i="5"/>
  <c r="V38" i="5"/>
  <c r="W38" i="5"/>
  <c r="S39" i="5"/>
  <c r="T39" i="5"/>
  <c r="U39" i="5"/>
  <c r="V39" i="5"/>
  <c r="W39" i="5"/>
  <c r="R36"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J24" i="26" s="1"/>
  <c r="E24" i="26" s="1"/>
  <c r="C26" i="5"/>
  <c r="C27" i="5"/>
  <c r="E46" i="5"/>
  <c r="F46" i="5"/>
  <c r="G46" i="5"/>
  <c r="H46" i="5"/>
  <c r="I46" i="5"/>
  <c r="E47" i="5"/>
  <c r="F47" i="5"/>
  <c r="G47" i="5"/>
  <c r="H47" i="5"/>
  <c r="I47" i="5"/>
  <c r="E48" i="5"/>
  <c r="E50" i="5" s="1"/>
  <c r="F48" i="5"/>
  <c r="G48" i="5"/>
  <c r="H48" i="5"/>
  <c r="I48" i="5"/>
  <c r="E49" i="5"/>
  <c r="F49" i="5"/>
  <c r="G49" i="5"/>
  <c r="H49" i="5"/>
  <c r="D47" i="5"/>
  <c r="D48" i="5"/>
  <c r="C48" i="5" s="1"/>
  <c r="D49" i="5"/>
  <c r="C20" i="5"/>
  <c r="C21" i="5"/>
  <c r="C22" i="5" s="1"/>
  <c r="E42" i="5"/>
  <c r="E44" i="5" s="1"/>
  <c r="F42" i="5"/>
  <c r="G42" i="5"/>
  <c r="H42" i="5"/>
  <c r="I42" i="5"/>
  <c r="I44" i="5" s="1"/>
  <c r="E43" i="5"/>
  <c r="F43" i="5"/>
  <c r="G43" i="5"/>
  <c r="H43" i="5"/>
  <c r="C43" i="5" s="1"/>
  <c r="I43" i="5"/>
  <c r="D43" i="5"/>
  <c r="C12" i="5"/>
  <c r="C13" i="5"/>
  <c r="C14" i="5"/>
  <c r="C15" i="5"/>
  <c r="C16" i="5"/>
  <c r="E36" i="5"/>
  <c r="F36" i="5"/>
  <c r="G36" i="5"/>
  <c r="H36" i="5"/>
  <c r="I36" i="5"/>
  <c r="E38" i="5"/>
  <c r="F38" i="5"/>
  <c r="G38" i="5"/>
  <c r="H38" i="5"/>
  <c r="I38" i="5"/>
  <c r="E39" i="5"/>
  <c r="F39" i="5"/>
  <c r="H39" i="5"/>
  <c r="I39" i="5"/>
  <c r="D36" i="5"/>
  <c r="D38" i="5"/>
  <c r="D39" i="5"/>
  <c r="D46" i="5"/>
  <c r="D50" i="5" s="1"/>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H21" i="26"/>
  <c r="G23" i="26"/>
  <c r="I22" i="26"/>
  <c r="H24"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T23" i="26"/>
  <c r="V22" i="26"/>
  <c r="U24" i="26"/>
  <c r="S23" i="26"/>
  <c r="U22" i="26"/>
  <c r="U23" i="26"/>
  <c r="T24" i="26"/>
  <c r="V23" i="26"/>
  <c r="S24" i="26"/>
  <c r="S22" i="26"/>
  <c r="N24" i="26"/>
  <c r="N23" i="26"/>
  <c r="N22" i="26"/>
  <c r="N21" i="26"/>
  <c r="M24" i="26"/>
  <c r="M23" i="26"/>
  <c r="M22" i="26"/>
  <c r="K22" i="26" s="1"/>
  <c r="K25" i="26" s="1"/>
  <c r="M21" i="26"/>
  <c r="P24" i="26"/>
  <c r="P23" i="26"/>
  <c r="P22" i="26"/>
  <c r="P21" i="26"/>
  <c r="O24" i="26"/>
  <c r="O23" i="26"/>
  <c r="O22" i="26"/>
  <c r="O25" i="26" s="1"/>
  <c r="O21" i="26"/>
  <c r="I23" i="26"/>
  <c r="H22" i="26"/>
  <c r="G21" i="26"/>
  <c r="J22" i="26"/>
  <c r="I21" i="26"/>
  <c r="G24" i="26"/>
  <c r="I24" i="26"/>
  <c r="V19" i="26"/>
  <c r="R19" i="26"/>
  <c r="P18" i="26"/>
  <c r="P17" i="26"/>
  <c r="O18" i="26"/>
  <c r="N18" i="26"/>
  <c r="N17" i="26"/>
  <c r="M18" i="26"/>
  <c r="M17" i="26"/>
  <c r="O17" i="26"/>
  <c r="O19" i="26" s="1"/>
  <c r="T14" i="26"/>
  <c r="S13" i="26"/>
  <c r="U12" i="26"/>
  <c r="V13" i="26"/>
  <c r="V14" i="26"/>
  <c r="U13" i="26"/>
  <c r="U14" i="26"/>
  <c r="T13" i="26"/>
  <c r="V12" i="26"/>
  <c r="S14" i="26"/>
  <c r="N14" i="26"/>
  <c r="O13" i="26"/>
  <c r="H18" i="26"/>
  <c r="J17" i="26"/>
  <c r="H17" i="26"/>
  <c r="G18" i="26"/>
  <c r="I17" i="26"/>
  <c r="J18" i="26"/>
  <c r="I18" i="26"/>
  <c r="G17" i="26"/>
  <c r="J14" i="26"/>
  <c r="G13" i="26"/>
  <c r="F13" i="26"/>
  <c r="G14" i="26"/>
  <c r="I14" i="26"/>
  <c r="J13" i="26"/>
  <c r="F14" i="26"/>
  <c r="H14" i="26"/>
  <c r="I13"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Y11" i="10"/>
  <c r="U12" i="10"/>
  <c r="V12" i="10"/>
  <c r="W12" i="10"/>
  <c r="X12" i="10"/>
  <c r="Y12" i="10"/>
  <c r="U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X25" i="10"/>
  <c r="W25" i="10"/>
  <c r="V25" i="10"/>
  <c r="U25" i="10"/>
  <c r="T25" i="10"/>
  <c r="Y24" i="10"/>
  <c r="X24" i="10"/>
  <c r="W24" i="10"/>
  <c r="V24" i="10"/>
  <c r="U24" i="10"/>
  <c r="T24" i="10"/>
  <c r="Y23" i="10"/>
  <c r="X23" i="10"/>
  <c r="V23" i="10"/>
  <c r="U23" i="10"/>
  <c r="T23" i="10"/>
  <c r="T20" i="10"/>
  <c r="T12"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E25" i="10" s="1"/>
  <c r="J25" i="10"/>
  <c r="I25" i="10"/>
  <c r="H25" i="10"/>
  <c r="H26" i="10" s="1"/>
  <c r="G25" i="10"/>
  <c r="F25" i="10"/>
  <c r="K24" i="10"/>
  <c r="I24" i="10"/>
  <c r="H24" i="10"/>
  <c r="G24" i="10"/>
  <c r="F24" i="10"/>
  <c r="F26" i="10" s="1"/>
  <c r="K23" i="10"/>
  <c r="J23" i="10"/>
  <c r="J26" i="10" s="1"/>
  <c r="I23" i="10"/>
  <c r="H23" i="10"/>
  <c r="G23" i="10"/>
  <c r="F23" i="10"/>
  <c r="K22" i="10"/>
  <c r="J22" i="10"/>
  <c r="I22" i="10"/>
  <c r="I26" i="10" s="1"/>
  <c r="H22" i="10"/>
  <c r="G22" i="10"/>
  <c r="K19" i="10"/>
  <c r="J19" i="10"/>
  <c r="J20" i="10" s="1"/>
  <c r="I19" i="10"/>
  <c r="H19" i="10"/>
  <c r="G19" i="10"/>
  <c r="F19" i="10"/>
  <c r="F20" i="10" s="1"/>
  <c r="K18" i="10"/>
  <c r="J18" i="10"/>
  <c r="I18" i="10"/>
  <c r="I20" i="10"/>
  <c r="H18" i="10"/>
  <c r="H20" i="10"/>
  <c r="G18" i="10"/>
  <c r="G12" i="10"/>
  <c r="H12" i="10"/>
  <c r="I12" i="10"/>
  <c r="J12" i="10"/>
  <c r="K12" i="10"/>
  <c r="G14" i="10"/>
  <c r="H14" i="10"/>
  <c r="I14" i="10"/>
  <c r="J14" i="10"/>
  <c r="K14" i="10"/>
  <c r="G15" i="10"/>
  <c r="H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K15" i="17"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L10" i="11"/>
  <c r="O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K11" i="26"/>
  <c r="G25" i="26"/>
  <c r="H19" i="26"/>
  <c r="K21" i="26"/>
  <c r="M25" i="26"/>
  <c r="P25" i="26"/>
  <c r="K24" i="26"/>
  <c r="K23" i="26"/>
  <c r="G26" i="10"/>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C46" i="5"/>
  <c r="G50" i="5"/>
  <c r="F50" i="5"/>
  <c r="S24" i="10" l="1"/>
  <c r="R50" i="5"/>
  <c r="AE28" i="5"/>
  <c r="Q23" i="26"/>
  <c r="I50" i="5"/>
  <c r="C50" i="5"/>
  <c r="E23" i="26"/>
  <c r="I49" i="5"/>
  <c r="C47" i="5"/>
  <c r="E24" i="10"/>
  <c r="H25" i="26"/>
  <c r="F25" i="26"/>
  <c r="E23" i="10"/>
  <c r="E22" i="26"/>
  <c r="C49" i="5"/>
  <c r="K26" i="10"/>
  <c r="Q13" i="26"/>
  <c r="AE17" i="5"/>
  <c r="V35" i="5" s="1"/>
  <c r="V40" i="5" s="1"/>
  <c r="C17" i="5"/>
  <c r="G10" i="11"/>
  <c r="F10" i="11"/>
  <c r="C10" i="11"/>
  <c r="I10" i="11"/>
  <c r="D10" i="11"/>
  <c r="H10" i="11"/>
  <c r="D15" i="17"/>
  <c r="S15" i="10"/>
  <c r="Y16" i="10"/>
  <c r="R11" i="26"/>
  <c r="W11" i="10"/>
  <c r="V11" i="10"/>
  <c r="S14" i="10"/>
  <c r="Q14" i="26"/>
  <c r="S12" i="10"/>
  <c r="W40" i="5"/>
  <c r="Q39" i="5"/>
  <c r="G39" i="5"/>
  <c r="C39" i="5" s="1"/>
  <c r="I15" i="10"/>
  <c r="E15" i="10" s="1"/>
  <c r="J11" i="26"/>
  <c r="J11" i="10"/>
  <c r="C36" i="5"/>
  <c r="E13" i="26"/>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E14" i="26"/>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8"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W49" i="5" l="1"/>
  <c r="Q49" i="5" s="1"/>
  <c r="Y25" i="10"/>
  <c r="S25" i="10" s="1"/>
  <c r="V24" i="26"/>
  <c r="Q24" i="26" s="1"/>
  <c r="U47" i="5"/>
  <c r="Q47" i="5" s="1"/>
  <c r="W23" i="10"/>
  <c r="S23" i="10" s="1"/>
  <c r="T22" i="26"/>
  <c r="Q22" i="26" s="1"/>
  <c r="W46" i="5"/>
  <c r="V21" i="26"/>
  <c r="Y22" i="10"/>
  <c r="V46" i="5"/>
  <c r="V50" i="5" s="1"/>
  <c r="X22" i="10"/>
  <c r="X26" i="10" s="1"/>
  <c r="U21" i="26"/>
  <c r="U25" i="26" s="1"/>
  <c r="U46" i="5"/>
  <c r="T21" i="26"/>
  <c r="W22" i="10"/>
  <c r="T46" i="5"/>
  <c r="T50" i="5" s="1"/>
  <c r="S21" i="26"/>
  <c r="S25" i="26" s="1"/>
  <c r="V22" i="10"/>
  <c r="V26" i="10" s="1"/>
  <c r="S46" i="5"/>
  <c r="R21" i="26"/>
  <c r="U22" i="10"/>
  <c r="E25" i="26"/>
  <c r="E26" i="10"/>
  <c r="S11" i="26"/>
  <c r="S15" i="26" s="1"/>
  <c r="W13" i="10"/>
  <c r="W16" i="10" s="1"/>
  <c r="T12" i="26"/>
  <c r="U37" i="5"/>
  <c r="S35" i="5"/>
  <c r="S40" i="5" s="1"/>
  <c r="T11" i="10"/>
  <c r="T35" i="5"/>
  <c r="U11" i="10"/>
  <c r="U16" i="10" s="1"/>
  <c r="S12" i="26"/>
  <c r="T37" i="5"/>
  <c r="T40" i="5" s="1"/>
  <c r="V13" i="10"/>
  <c r="V16" i="10" s="1"/>
  <c r="U35" i="5"/>
  <c r="U40" i="5" s="1"/>
  <c r="R35" i="5"/>
  <c r="AE18" i="5"/>
  <c r="R37" i="5"/>
  <c r="T11" i="26"/>
  <c r="T13" i="10"/>
  <c r="R12" i="26"/>
  <c r="X11" i="10"/>
  <c r="X16" i="10" s="1"/>
  <c r="U11" i="26"/>
  <c r="U15" i="26" s="1"/>
  <c r="S11" i="10"/>
  <c r="K11" i="10"/>
  <c r="I37" i="5"/>
  <c r="K13" i="10"/>
  <c r="J12" i="26"/>
  <c r="J15" i="26" s="1"/>
  <c r="G13" i="10"/>
  <c r="I35" i="5"/>
  <c r="I40" i="5" s="1"/>
  <c r="H37" i="5"/>
  <c r="I12" i="26"/>
  <c r="J13" i="10"/>
  <c r="J16" i="10" s="1"/>
  <c r="F11" i="10"/>
  <c r="F12" i="26"/>
  <c r="F35" i="5"/>
  <c r="G35" i="5"/>
  <c r="G40" i="5" s="1"/>
  <c r="G37" i="5"/>
  <c r="H12" i="26"/>
  <c r="I13" i="10"/>
  <c r="C18" i="5"/>
  <c r="E37" i="5"/>
  <c r="E40" i="5" s="1"/>
  <c r="H35" i="5"/>
  <c r="G12" i="26"/>
  <c r="F37" i="5"/>
  <c r="H13" i="10"/>
  <c r="G11" i="10"/>
  <c r="H11" i="10"/>
  <c r="E35" i="5"/>
  <c r="F13" i="10"/>
  <c r="D37" i="5"/>
  <c r="H11" i="26"/>
  <c r="H15" i="26" s="1"/>
  <c r="G11" i="26"/>
  <c r="D35" i="5"/>
  <c r="D40" i="5" s="1"/>
  <c r="I11" i="26"/>
  <c r="F11" i="26"/>
  <c r="F15" i="26" s="1"/>
  <c r="I11" i="10"/>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V25" i="26" l="1"/>
  <c r="Y26" i="10"/>
  <c r="W50" i="5"/>
  <c r="W26" i="10"/>
  <c r="U50" i="5"/>
  <c r="T25" i="26"/>
  <c r="R25" i="26"/>
  <c r="Q21" i="26"/>
  <c r="Q25" i="26" s="1"/>
  <c r="Q46" i="5"/>
  <c r="Q50" i="5" s="1"/>
  <c r="S50" i="5"/>
  <c r="S22" i="10"/>
  <c r="S26" i="10" s="1"/>
  <c r="U26" i="10"/>
  <c r="S13" i="10"/>
  <c r="S16" i="10" s="1"/>
  <c r="Q37" i="5"/>
  <c r="Q12" i="26"/>
  <c r="R15" i="26"/>
  <c r="R40" i="5"/>
  <c r="Q35" i="5"/>
  <c r="T15" i="26"/>
  <c r="Q11" i="26"/>
  <c r="T16" i="10"/>
  <c r="E12" i="26"/>
  <c r="F16" i="10"/>
  <c r="G16" i="10"/>
  <c r="K16" i="10"/>
  <c r="H40" i="5"/>
  <c r="I15" i="26"/>
  <c r="I16" i="10"/>
  <c r="F40" i="5"/>
  <c r="G15" i="26"/>
  <c r="C37" i="5"/>
  <c r="H16" i="10"/>
  <c r="E11" i="10"/>
  <c r="E13" i="10"/>
  <c r="E16" i="10" s="1"/>
  <c r="C35" i="5"/>
  <c r="C40" i="5" s="1"/>
  <c r="E11" i="26"/>
  <c r="E15" i="26"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15" i="26" l="1"/>
  <c r="Q40" i="5"/>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<sst xmlns="http://schemas.openxmlformats.org/spreadsheetml/2006/main" count="2486" uniqueCount="536">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</sst>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9" t="s">
        <v>2</v>
      </c>
      <c r="D3" s="379"/>
      <c r="E3" s="379"/>
      <c r="F3" s="379"/>
      <c r="G3" s="379"/>
      <c r="H3" s="379"/>
      <c r="I3" s="379"/>
      <c r="J3" s="379"/>
      <c r="K3" s="379"/>
      <c r="L3" s="379"/>
      <c r="M3" s="379"/>
      <c r="N3" s="379"/>
    </row>
    <row r="4" spans="2:14" ht="29.25" customHeight="1" x14ac:dyDescent="0.2">
      <c r="B4" s="3" t="s">
        <v>3</v>
      </c>
      <c r="C4" s="379" t="s">
        <v>4</v>
      </c>
      <c r="D4" s="379"/>
      <c r="E4" s="379"/>
      <c r="F4" s="379"/>
      <c r="G4" s="379"/>
      <c r="H4" s="379"/>
      <c r="I4" s="379"/>
      <c r="J4" s="379"/>
      <c r="K4" s="379"/>
      <c r="L4" s="379"/>
      <c r="M4" s="379"/>
      <c r="N4" s="379"/>
    </row>
    <row r="5" spans="2:14" ht="15" x14ac:dyDescent="0.2">
      <c r="B5" s="3" t="s">
        <v>5</v>
      </c>
      <c r="C5" s="379" t="s">
        <v>497</v>
      </c>
      <c r="D5" s="379"/>
      <c r="E5" s="379"/>
      <c r="F5" s="379"/>
      <c r="G5" s="379"/>
      <c r="H5" s="379"/>
      <c r="I5" s="379"/>
      <c r="J5" s="379"/>
      <c r="K5" s="379"/>
      <c r="L5" s="379"/>
      <c r="M5" s="379"/>
      <c r="N5" s="379"/>
    </row>
    <row r="6" spans="2:14" ht="15" customHeight="1" x14ac:dyDescent="0.2">
      <c r="B6" s="3"/>
      <c r="C6" s="379" t="s">
        <v>528</v>
      </c>
      <c r="D6" s="379"/>
      <c r="E6" s="379"/>
      <c r="F6" s="379"/>
      <c r="G6" s="379"/>
      <c r="H6" s="379"/>
      <c r="I6" s="379"/>
      <c r="J6" s="379"/>
      <c r="K6" s="379"/>
      <c r="L6" s="379"/>
      <c r="M6" s="379"/>
      <c r="N6" s="379"/>
    </row>
    <row r="7" spans="2:14" ht="18.75" customHeight="1" x14ac:dyDescent="0.2">
      <c r="B7" s="3" t="s">
        <v>6</v>
      </c>
      <c r="C7" s="379" t="s">
        <v>459</v>
      </c>
      <c r="D7" s="379"/>
      <c r="E7" s="379"/>
      <c r="F7" s="379"/>
      <c r="G7" s="379"/>
      <c r="H7" s="379"/>
      <c r="I7" s="379"/>
      <c r="J7" s="379"/>
      <c r="K7" s="379"/>
      <c r="L7" s="379"/>
      <c r="M7" s="379"/>
      <c r="N7" s="379"/>
    </row>
    <row r="8" spans="2:14" ht="15" customHeight="1" x14ac:dyDescent="0.2">
      <c r="B8" s="3" t="s">
        <v>7</v>
      </c>
      <c r="C8" s="379" t="s">
        <v>460</v>
      </c>
      <c r="D8" s="379"/>
      <c r="E8" s="379"/>
      <c r="F8" s="379"/>
      <c r="G8" s="379"/>
      <c r="H8" s="379"/>
      <c r="I8" s="379"/>
      <c r="J8" s="379"/>
      <c r="K8" s="379"/>
      <c r="L8" s="379"/>
      <c r="M8" s="379"/>
      <c r="N8" s="379"/>
    </row>
    <row r="9" spans="2:14" ht="15" customHeight="1" x14ac:dyDescent="0.2">
      <c r="B9" s="3" t="s">
        <v>8</v>
      </c>
      <c r="C9" s="379" t="s">
        <v>461</v>
      </c>
      <c r="D9" s="379"/>
      <c r="E9" s="379"/>
      <c r="F9" s="379"/>
      <c r="G9" s="379"/>
      <c r="H9" s="379"/>
      <c r="I9" s="379"/>
      <c r="J9" s="379"/>
      <c r="K9" s="379"/>
      <c r="L9" s="379"/>
      <c r="M9" s="379"/>
      <c r="N9" s="379"/>
    </row>
    <row r="10" spans="2:14" ht="15" customHeight="1" x14ac:dyDescent="0.2">
      <c r="B10" s="3" t="s">
        <v>9</v>
      </c>
      <c r="C10" s="379" t="s">
        <v>463</v>
      </c>
      <c r="D10" s="379"/>
      <c r="E10" s="379"/>
      <c r="F10" s="379"/>
      <c r="G10" s="379"/>
      <c r="H10" s="379"/>
      <c r="I10" s="379"/>
      <c r="J10" s="379"/>
      <c r="K10" s="379"/>
      <c r="L10" s="379"/>
      <c r="M10" s="379"/>
      <c r="N10" s="379"/>
    </row>
    <row r="11" spans="2:14" ht="15" customHeight="1" x14ac:dyDescent="0.2">
      <c r="B11" s="3" t="s">
        <v>10</v>
      </c>
      <c r="C11" s="379" t="s">
        <v>464</v>
      </c>
      <c r="D11" s="379"/>
      <c r="E11" s="379"/>
      <c r="F11" s="379"/>
      <c r="G11" s="379"/>
      <c r="H11" s="379"/>
      <c r="I11" s="379"/>
      <c r="J11" s="379"/>
      <c r="K11" s="379"/>
      <c r="L11" s="379"/>
      <c r="M11" s="379"/>
      <c r="N11" s="379"/>
    </row>
    <row r="12" spans="2:14" ht="16.5" customHeight="1" x14ac:dyDescent="0.2">
      <c r="B12" s="3" t="s">
        <v>11</v>
      </c>
      <c r="C12" s="379" t="s">
        <v>12</v>
      </c>
      <c r="D12" s="379"/>
      <c r="E12" s="379"/>
      <c r="F12" s="379"/>
      <c r="G12" s="379"/>
      <c r="H12" s="379"/>
      <c r="I12" s="379"/>
      <c r="J12" s="379"/>
      <c r="K12" s="379"/>
      <c r="L12" s="379"/>
      <c r="M12" s="379"/>
      <c r="N12" s="379"/>
    </row>
    <row r="13" spans="2:14" ht="15" x14ac:dyDescent="0.2">
      <c r="B13" s="3" t="s">
        <v>13</v>
      </c>
      <c r="C13" s="379" t="s">
        <v>14</v>
      </c>
      <c r="D13" s="379"/>
      <c r="E13" s="379"/>
      <c r="F13" s="379"/>
      <c r="G13" s="379"/>
      <c r="H13" s="379"/>
      <c r="I13" s="379"/>
      <c r="J13" s="379"/>
      <c r="K13" s="379"/>
      <c r="L13" s="379"/>
      <c r="M13" s="379"/>
      <c r="N13" s="379"/>
    </row>
    <row r="14" spans="2:14" ht="15" x14ac:dyDescent="0.2">
      <c r="B14" s="3" t="s">
        <v>15</v>
      </c>
      <c r="C14" s="379" t="s">
        <v>448</v>
      </c>
      <c r="D14" s="379"/>
      <c r="E14" s="379"/>
      <c r="F14" s="379"/>
      <c r="G14" s="379"/>
      <c r="H14" s="379"/>
      <c r="I14" s="379"/>
      <c r="J14" s="379"/>
      <c r="K14" s="379"/>
      <c r="L14" s="379"/>
      <c r="M14" s="379"/>
      <c r="N14" s="379"/>
    </row>
    <row r="15" spans="2:14" ht="15" x14ac:dyDescent="0.2">
      <c r="B15" s="3" t="s">
        <v>16</v>
      </c>
      <c r="C15" s="379" t="s">
        <v>449</v>
      </c>
      <c r="D15" s="379"/>
      <c r="E15" s="379"/>
      <c r="F15" s="379"/>
      <c r="G15" s="379"/>
      <c r="H15" s="379"/>
      <c r="I15" s="379"/>
      <c r="J15" s="379"/>
      <c r="K15" s="379"/>
      <c r="L15" s="379"/>
      <c r="M15" s="379"/>
      <c r="N15" s="379"/>
    </row>
    <row r="16" spans="2:14" ht="15" x14ac:dyDescent="0.2">
      <c r="B16" s="3" t="s">
        <v>17</v>
      </c>
      <c r="C16" s="379" t="s">
        <v>450</v>
      </c>
      <c r="D16" s="379"/>
      <c r="E16" s="379"/>
      <c r="F16" s="379"/>
      <c r="G16" s="379"/>
      <c r="H16" s="379"/>
      <c r="I16" s="379"/>
      <c r="J16" s="379"/>
      <c r="K16" s="379"/>
      <c r="L16" s="379"/>
      <c r="M16" s="379"/>
      <c r="N16" s="379"/>
    </row>
    <row r="17" spans="2:15" ht="15" x14ac:dyDescent="0.2">
      <c r="B17" s="3" t="s">
        <v>18</v>
      </c>
      <c r="C17" s="379" t="s">
        <v>451</v>
      </c>
      <c r="D17" s="379"/>
      <c r="E17" s="379"/>
      <c r="F17" s="379"/>
      <c r="G17" s="379"/>
      <c r="H17" s="379"/>
      <c r="I17" s="379"/>
      <c r="J17" s="379"/>
      <c r="K17" s="379"/>
      <c r="L17" s="379"/>
      <c r="M17" s="379"/>
      <c r="N17" s="379"/>
    </row>
    <row r="21" spans="2:15" ht="15.75" x14ac:dyDescent="0.25">
      <c r="B21" s="5" t="s">
        <v>19</v>
      </c>
      <c r="C21" s="6"/>
      <c r="D21" s="6"/>
      <c r="E21" s="6"/>
      <c r="F21" s="6"/>
      <c r="G21" s="7"/>
      <c r="H21" s="7"/>
      <c r="I21" s="7"/>
      <c r="J21" s="7"/>
      <c r="K21" s="7"/>
      <c r="L21" s="7"/>
      <c r="M21" s="7"/>
      <c r="N21" s="7"/>
    </row>
    <row r="22" spans="2:15" ht="15" x14ac:dyDescent="0.2">
      <c r="B22" s="7" t="s">
        <v>1</v>
      </c>
      <c r="C22" s="380" t="s">
        <v>20</v>
      </c>
      <c r="D22" s="380"/>
      <c r="E22" s="380"/>
      <c r="F22" s="380"/>
      <c r="G22" s="380"/>
      <c r="H22" s="380"/>
      <c r="I22" s="380"/>
      <c r="J22" s="380"/>
      <c r="K22" s="380"/>
      <c r="L22" s="380"/>
      <c r="M22" s="380"/>
      <c r="N22" s="380"/>
    </row>
    <row r="23" spans="2:15" ht="15" x14ac:dyDescent="0.2">
      <c r="B23" s="7" t="s">
        <v>3</v>
      </c>
      <c r="C23" s="380" t="s">
        <v>21</v>
      </c>
      <c r="D23" s="380"/>
      <c r="E23" s="380"/>
      <c r="F23" s="380"/>
      <c r="G23" s="380"/>
      <c r="H23" s="380"/>
      <c r="I23" s="380"/>
      <c r="J23" s="380"/>
      <c r="K23" s="380"/>
      <c r="L23" s="380"/>
      <c r="M23" s="380"/>
      <c r="N23" s="380"/>
    </row>
    <row r="24" spans="2:15" ht="15" x14ac:dyDescent="0.2">
      <c r="B24" s="7" t="s">
        <v>5</v>
      </c>
      <c r="C24" s="380" t="s">
        <v>22</v>
      </c>
      <c r="D24" s="380"/>
      <c r="E24" s="380"/>
      <c r="F24" s="380"/>
      <c r="G24" s="380"/>
      <c r="H24" s="380"/>
      <c r="I24" s="380"/>
      <c r="J24" s="380"/>
      <c r="K24" s="380"/>
      <c r="L24" s="380"/>
      <c r="M24" s="380"/>
      <c r="N24" s="380"/>
    </row>
    <row r="25" spans="2:15" ht="33.75" customHeight="1" x14ac:dyDescent="0.2">
      <c r="B25" s="7" t="s">
        <v>6</v>
      </c>
      <c r="C25" s="380" t="s">
        <v>23</v>
      </c>
      <c r="D25" s="380"/>
      <c r="E25" s="380"/>
      <c r="F25" s="380"/>
      <c r="G25" s="380"/>
      <c r="H25" s="380"/>
      <c r="I25" s="380"/>
      <c r="J25" s="380"/>
      <c r="K25" s="380"/>
      <c r="L25" s="380"/>
      <c r="M25" s="380"/>
      <c r="N25" s="380"/>
      <c r="O25" s="380"/>
    </row>
    <row r="26" spans="2:15" ht="15" x14ac:dyDescent="0.2">
      <c r="B26" s="7" t="s">
        <v>24</v>
      </c>
      <c r="C26" s="380" t="s">
        <v>25</v>
      </c>
      <c r="D26" s="380"/>
      <c r="E26" s="380"/>
      <c r="F26" s="380"/>
      <c r="G26" s="380"/>
      <c r="H26" s="380"/>
      <c r="I26" s="380"/>
      <c r="J26" s="380"/>
      <c r="K26" s="380"/>
      <c r="L26" s="380"/>
      <c r="M26" s="380"/>
      <c r="N26" s="380"/>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D19" sqref="D19"/>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2020</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467</v>
      </c>
      <c r="E11" s="144"/>
      <c r="F11" s="144"/>
      <c r="G11" s="144"/>
      <c r="H11" s="144"/>
      <c r="I11" s="144"/>
      <c r="J11" s="145"/>
      <c r="K11" s="143">
        <v>1232</v>
      </c>
      <c r="L11" s="144"/>
      <c r="M11" s="144"/>
      <c r="N11" s="144"/>
      <c r="O11" s="144"/>
      <c r="P11" s="144"/>
      <c r="Q11" s="146"/>
    </row>
    <row r="12" spans="2:17" ht="25.5" x14ac:dyDescent="0.2">
      <c r="B12" s="60" t="s">
        <v>159</v>
      </c>
      <c r="C12" s="61" t="s">
        <v>160</v>
      </c>
      <c r="D12" s="143">
        <v>1826</v>
      </c>
      <c r="E12" s="144"/>
      <c r="F12" s="144"/>
      <c r="G12" s="144"/>
      <c r="H12" s="144"/>
      <c r="I12" s="147"/>
      <c r="J12" s="148"/>
      <c r="K12" s="143">
        <v>1395</v>
      </c>
      <c r="L12" s="144"/>
      <c r="M12" s="144"/>
      <c r="N12" s="144"/>
      <c r="O12" s="144"/>
      <c r="P12" s="144"/>
      <c r="Q12" s="146"/>
    </row>
    <row r="13" spans="2:17" ht="25.5" x14ac:dyDescent="0.2">
      <c r="B13" s="62" t="s">
        <v>161</v>
      </c>
      <c r="C13" s="61" t="s">
        <v>162</v>
      </c>
      <c r="D13" s="143">
        <v>99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1820</v>
      </c>
      <c r="E14" s="150">
        <v>820</v>
      </c>
      <c r="F14" s="150">
        <v>165</v>
      </c>
      <c r="G14" s="150">
        <v>121</v>
      </c>
      <c r="H14" s="150">
        <v>71</v>
      </c>
      <c r="I14" s="151">
        <v>126</v>
      </c>
      <c r="J14" s="152">
        <v>517</v>
      </c>
      <c r="K14" s="149">
        <f>SUM(L14:Q14)</f>
        <v>1343</v>
      </c>
      <c r="L14" s="150">
        <v>1272</v>
      </c>
      <c r="M14" s="150">
        <v>43</v>
      </c>
      <c r="N14" s="150"/>
      <c r="O14" s="150">
        <v>6</v>
      </c>
      <c r="P14" s="151">
        <v>9</v>
      </c>
      <c r="Q14" s="181">
        <v>13</v>
      </c>
    </row>
    <row r="15" spans="2:17" ht="38.25" x14ac:dyDescent="0.2">
      <c r="B15" s="62" t="s">
        <v>165</v>
      </c>
      <c r="C15" s="61" t="s">
        <v>166</v>
      </c>
      <c r="D15" s="149">
        <f>IF(D11+D12-D14-D13=0,"",D11+D12-D14-D13)</f>
        <v>374</v>
      </c>
      <c r="E15" s="144"/>
      <c r="F15" s="144"/>
      <c r="G15" s="144"/>
      <c r="H15" s="144"/>
      <c r="I15" s="147"/>
      <c r="J15" s="148"/>
      <c r="K15" s="149">
        <f>IF(K11+K12-K14-K13=0,"",K11+K12-K14-K13)</f>
        <v>1284</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2020</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2020</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2020</v>
      </c>
    </row>
    <row r="4" spans="1:41" x14ac:dyDescent="0.2">
      <c r="B4" s="182" t="s">
        <v>425</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529</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527</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2020</v>
      </c>
      <c r="F3" s="121">
        <f>E3-1</f>
        <v>-1</v>
      </c>
    </row>
    <row r="4" spans="1:68" x14ac:dyDescent="0.2">
      <c r="B4" s="182" t="s">
        <v>425</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מקפת מרכז לפנסיה ותגמולים אגודה שיתופית בע"מ</v>
      </c>
    </row>
    <row r="3" spans="1:25"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0.95486111111111116</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0.61111111111111116</v>
      </c>
      <c r="G11" s="79">
        <f>IF((' פנסיוני א3'!F12+' פנסיוני א3'!M12+' פנסיוני א3'!F13+' פנסיוני א3'!M13)=0,0,(' פנסיוני א3'!F12+' פנסיוני א3'!M12+' פנסיוני א3'!F13+' פנסיוני א3'!M13)/(' פנסיוני א3'!$C$17+' פנסיוני א3'!$J$17))</f>
        <v>0.22569444444444445</v>
      </c>
      <c r="H11" s="79">
        <f>IF((' פנסיוני א3'!G12+' פנסיוני א3'!N12+' פנסיוני א3'!G13+' פנסיוני א3'!N13)=0,0,(' פנסיוני א3'!G12+' פנסיוני א3'!N12+' פנסיוני א3'!G13+' פנסיוני א3'!N13)/(' פנסיוני א3'!$C$17+' פנסיוני א3'!$J$17))</f>
        <v>8.6805555555555552E-2</v>
      </c>
      <c r="I11" s="79">
        <f>IF((' פנסיוני א3'!H12+' פנסיוני א3'!O12+' פנסיוני א3'!H13+' פנסיוני א3'!O13)=0,0,(' פנסיוני א3'!H12+' פנסיוני א3'!O12+' פנסיוני א3'!H13+' פנסיוני א3'!O13)/(' פנסיוני א3'!$C$17+' פנסיוני א3'!$J$17))</f>
        <v>1.7361111111111112E-2</v>
      </c>
      <c r="J11" s="79">
        <f>IF((' פנסיוני א3'!I12+' פנסיוני א3'!P12+' פנסיוני א3'!I13+' פנסיוני א3'!P13)=0,0,(' פנסיוני א3'!I12+' פנסיוני א3'!P12+' פנסיוני א3'!I13+' פנסיוני א3'!P13)/(' פנסיוני א3'!$C$17+' פנסיוני א3'!$J$17))</f>
        <v>1.3888888888888888E-2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0.98922413793103459</v>
      </c>
      <c r="R11" s="79">
        <f>IF(' פנסיוני א3'!AF12+' פנסיוני א3'!AG12+' פנסיוני א3'!AF13+' פנסיוני א3'!AG13=0,0,(' פנסיוני א3'!AF12+' פנסיוני א3'!AG12+' פנסיוני א3'!AF13+' פנסיוני א3'!AG13)/' פנסיוני א3'!$AE$17)</f>
        <v>0.60129310344827591</v>
      </c>
      <c r="S11" s="79">
        <f>IF(' פנסיוני א3'!AH12+' פנסיוני א3'!AH13=0,0,(' פנסיוני א3'!AH12+' פנסיוני א3'!AH13)/' פנסיוני א3'!$AE$17)</f>
        <v>0.34913793103448276</v>
      </c>
      <c r="T11" s="79">
        <f>IF(' פנסיוני א3'!AI12+' פנסיוני א3'!AI13=0,0,(' פנסיוני א3'!AI12+' פנסיוני א3'!AI13)/' פנסיוני א3'!$AE$17)</f>
        <v>3.6637931034482756E-2</v>
      </c>
      <c r="U11" s="79">
        <f>IF(' פנסיוני א3'!AJ12+' פנסיוני א3'!AJ13=0,0,(' פנסיוני א3'!AJ12+' פנסיוני א3'!AJ13)/' פנסיוני א3'!$AE$17)</f>
        <v>2.1551724137931034E-3</v>
      </c>
      <c r="V11" s="81">
        <f>IF(' פנסיוני א3'!AK12+' פנסיוני א3'!AK13=0,0,(' פנסיוני א3'!AK12+' פנסיוני א3'!AK13)/' פנסיוני א3'!$AE$17)</f>
        <v>0</v>
      </c>
    </row>
    <row r="12" spans="1:25" x14ac:dyDescent="0.2">
      <c r="A12" s="202">
        <v>4</v>
      </c>
      <c r="B12" s="203" t="s">
        <v>77</v>
      </c>
      <c r="C12" s="272"/>
      <c r="D12" s="273"/>
      <c r="E12" s="78">
        <f>SUM(F12:J12)</f>
        <v>4.5138888888888888E-2</v>
      </c>
      <c r="F12" s="79">
        <f>IF((' פנסיוני א3'!D14+' פנסיוני א3'!K14+' פנסיוני א3'!E14+' פנסיוני א3'!L14)=0,0,(' פנסיוני א3'!D14+' פנסיוני א3'!K14+' פנסיוני א3'!E14+' פנסיוני א3'!L14)/(' פנסיוני א3'!$C$17+' פנסיוני א3'!$J$17))</f>
        <v>1.0416666666666666E-2</v>
      </c>
      <c r="G12" s="79">
        <f>IF((' פנסיוני א3'!F14+' פנסיוני א3'!M14)=0,0,(' פנסיוני א3'!F14+' פנסיוני א3'!M14)/(' פנסיוני א3'!$C$17+' פנסיוני א3'!$J$17))</f>
        <v>1.3888888888888888E-2</v>
      </c>
      <c r="H12" s="79">
        <f>IF((' פנסיוני א3'!G14+' פנסיוני א3'!N14)=0,0,(' פנסיוני א3'!G14+' פנסיוני א3'!N14)/(' פנסיוני א3'!$C$17+' פנסיוני א3'!$J$17))</f>
        <v>3.472222222222222E-3</v>
      </c>
      <c r="I12" s="79">
        <f>IF((' פנסיוני א3'!H14+' פנסיוני א3'!O14)=0,0,(' פנסיוני א3'!H14+' פנסיוני א3'!O14)/(' פנסיוני א3'!$C$17+' פנסיוני א3'!$J$17))</f>
        <v>3.472222222222222E-3</v>
      </c>
      <c r="J12" s="79">
        <f>IF((' פנסיוני א3'!I14+' פנסיוני א3'!P14)=0,0,(' פנסיוני א3'!I14+' פנסיוני א3'!P14)/(' פנסיוני א3'!$C$17+' פנסיוני א3'!$J$17))</f>
        <v>1.3888888888888888E-2</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1.0775862068965518E-2</v>
      </c>
      <c r="R12" s="79">
        <f>IF(' פנסיוני א3'!AF14+' פנסיוני א3'!AG14=0,0,(' פנסיוני א3'!AF14+' פנסיוני א3'!AG14)/' פנסיוני א3'!$AE$17)</f>
        <v>6.4655172413793103E-3</v>
      </c>
      <c r="S12" s="79">
        <f>IF(' פנסיוני א3'!AH14=0,0,' פנסיוני א3'!AH14/' פנסיוני א3'!$AE$17)</f>
        <v>2.1551724137931034E-3</v>
      </c>
      <c r="T12" s="79">
        <f>IF(' פנסיוני א3'!AI14=0,0,' פנסיוני א3'!AI14/' פנסיוני א3'!$AE$17)</f>
        <v>2.1551724137931034E-3</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0.62152777777777779</v>
      </c>
      <c r="G15" s="92">
        <f t="shared" si="0"/>
        <v>0.23958333333333334</v>
      </c>
      <c r="H15" s="92">
        <f t="shared" si="0"/>
        <v>9.0277777777777776E-2</v>
      </c>
      <c r="I15" s="92">
        <f t="shared" si="0"/>
        <v>2.0833333333333336E-2</v>
      </c>
      <c r="J15" s="83">
        <f t="shared" si="0"/>
        <v>2.7777777777777776E-2</v>
      </c>
      <c r="K15" s="78">
        <f t="shared" si="0"/>
        <v>0</v>
      </c>
      <c r="L15" s="92">
        <f t="shared" si="0"/>
        <v>0</v>
      </c>
      <c r="M15" s="92">
        <f t="shared" si="0"/>
        <v>0</v>
      </c>
      <c r="N15" s="92">
        <f t="shared" si="0"/>
        <v>0</v>
      </c>
      <c r="O15" s="92">
        <f t="shared" si="0"/>
        <v>0</v>
      </c>
      <c r="P15" s="83">
        <f t="shared" si="0"/>
        <v>0</v>
      </c>
      <c r="Q15" s="78">
        <f t="shared" si="0"/>
        <v>1</v>
      </c>
      <c r="R15" s="92">
        <f t="shared" si="0"/>
        <v>0.60775862068965525</v>
      </c>
      <c r="S15" s="92">
        <f t="shared" si="0"/>
        <v>0.35129310344827586</v>
      </c>
      <c r="T15" s="92">
        <f t="shared" si="0"/>
        <v>3.8793103448275856E-2</v>
      </c>
      <c r="U15" s="92">
        <f t="shared" si="0"/>
        <v>2.1551724137931034E-3</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446</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0.84615384615384626</v>
      </c>
      <c r="R21" s="79">
        <f>IF(' פנסיוני א3'!AF24+' פנסיוני א3'!AG24=0,0,(' פנסיוני א3'!AF24+' פנסיוני א3'!AG24)/' פנסיוני א3'!$AE$28)</f>
        <v>7.6923076923076927E-2</v>
      </c>
      <c r="S21" s="79">
        <f>IF(' פנסיוני א3'!AH24=0,0,' פנסיוני א3'!AH24/' פנסיוני א3'!$AE$28)</f>
        <v>0.23076923076923078</v>
      </c>
      <c r="T21" s="79">
        <f>IF(' פנסיוני א3'!AI24=0,0,' פנסיוני א3'!AI24/' פנסיוני א3'!$AE$28)</f>
        <v>7.6923076923076927E-2</v>
      </c>
      <c r="U21" s="79">
        <f>IF(' פנסיוני א3'!AJ24=0,0,' פנסיוני א3'!AJ24/' פנסיוני א3'!$AE$28)</f>
        <v>0.38461538461538464</v>
      </c>
      <c r="V21" s="81">
        <f>IF(' פנסיוני א3'!AK24=0,0,' פנסיוני א3'!AK24/' פנסיוני א3'!$AE$28)</f>
        <v>7.6923076923076927E-2</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7.6923076923076927E-2</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7.6923076923076927E-2</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1</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1</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7.6923076923076927E-2</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7.6923076923076927E-2</v>
      </c>
    </row>
    <row r="25" spans="1:22" ht="13.5" thickBot="1" x14ac:dyDescent="0.25">
      <c r="A25" s="207">
        <v>5</v>
      </c>
      <c r="B25" s="464" t="s">
        <v>86</v>
      </c>
      <c r="C25" s="465"/>
      <c r="D25" s="466"/>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7.6923076923076927E-2</v>
      </c>
      <c r="S25" s="103">
        <f t="shared" si="2"/>
        <v>0.23076923076923078</v>
      </c>
      <c r="T25" s="103">
        <f t="shared" si="2"/>
        <v>0.15384615384615385</v>
      </c>
      <c r="U25" s="103">
        <f t="shared" si="2"/>
        <v>0.38461538461538464</v>
      </c>
      <c r="V25" s="102">
        <f t="shared" si="2"/>
        <v>0.15384615384615385</v>
      </c>
    </row>
    <row r="26" spans="1:22" x14ac:dyDescent="0.2">
      <c r="A26" s="262"/>
      <c r="B26" s="439"/>
      <c r="C26" s="439"/>
      <c r="D26" s="439"/>
    </row>
    <row r="27" spans="1:22" x14ac:dyDescent="0.2">
      <c r="A27" s="301"/>
      <c r="B27" s="364" t="s">
        <v>527</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9" sqref="E19"/>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6" t="s">
        <v>375</v>
      </c>
      <c r="C3" s="386"/>
      <c r="D3" s="386"/>
      <c r="E3" s="386"/>
      <c r="F3" s="387" t="s">
        <v>376</v>
      </c>
      <c r="G3" s="388"/>
      <c r="H3" s="388"/>
      <c r="I3" s="388"/>
      <c r="J3" s="140"/>
      <c r="K3" s="140"/>
      <c r="L3" s="140"/>
      <c r="M3" s="140"/>
    </row>
    <row r="4" spans="1:26" ht="15.75" x14ac:dyDescent="0.25">
      <c r="A4" s="141" t="s">
        <v>377</v>
      </c>
      <c r="B4" s="389" t="s">
        <v>397</v>
      </c>
      <c r="C4" s="386"/>
      <c r="D4" s="386"/>
      <c r="E4" s="386"/>
      <c r="F4" s="386"/>
      <c r="G4" s="386"/>
      <c r="H4" s="386"/>
      <c r="I4" s="386"/>
      <c r="J4" s="386"/>
      <c r="K4" s="386"/>
      <c r="L4" s="386"/>
      <c r="M4" s="386"/>
    </row>
    <row r="5" spans="1:26" ht="15.75" x14ac:dyDescent="0.25">
      <c r="A5" s="141" t="s">
        <v>378</v>
      </c>
      <c r="B5" s="386" t="s">
        <v>379</v>
      </c>
      <c r="C5" s="386"/>
      <c r="D5" s="386"/>
      <c r="E5" s="386"/>
      <c r="F5" s="386"/>
      <c r="G5" s="386"/>
      <c r="H5" s="386"/>
      <c r="I5" s="386"/>
      <c r="J5" s="386"/>
      <c r="K5" s="386"/>
      <c r="L5" s="386"/>
      <c r="M5" s="386"/>
    </row>
    <row r="6" spans="1:26" ht="15.75" x14ac:dyDescent="0.25">
      <c r="A6" s="141" t="s">
        <v>380</v>
      </c>
      <c r="B6" s="386" t="s">
        <v>381</v>
      </c>
      <c r="C6" s="386"/>
      <c r="D6" s="386"/>
      <c r="E6" s="386"/>
      <c r="F6" s="386"/>
      <c r="G6" s="386"/>
      <c r="H6" s="386"/>
      <c r="I6" s="386"/>
      <c r="J6" s="386"/>
      <c r="K6" s="386"/>
      <c r="L6" s="386"/>
      <c r="M6" s="386"/>
    </row>
    <row r="7" spans="1:26" ht="13.5" customHeight="1" x14ac:dyDescent="0.2">
      <c r="A7" s="141" t="s">
        <v>382</v>
      </c>
      <c r="B7" s="386" t="s">
        <v>383</v>
      </c>
      <c r="C7" s="386"/>
      <c r="D7" s="386"/>
      <c r="E7" s="386"/>
      <c r="F7" s="386"/>
      <c r="G7" s="386"/>
      <c r="H7" s="386"/>
      <c r="I7" s="386"/>
      <c r="J7" s="386"/>
      <c r="K7" s="386"/>
      <c r="L7" s="386"/>
      <c r="M7" s="386"/>
    </row>
    <row r="8" spans="1:26" ht="16.5" customHeight="1" x14ac:dyDescent="0.2">
      <c r="A8" s="220"/>
      <c r="B8" s="386"/>
      <c r="C8" s="386"/>
      <c r="D8" s="386"/>
      <c r="E8" s="386"/>
      <c r="F8" s="386"/>
      <c r="G8" s="386"/>
      <c r="H8" s="386"/>
      <c r="I8" s="386"/>
      <c r="J8" s="386"/>
      <c r="K8" s="386"/>
      <c r="L8" s="386"/>
      <c r="M8" s="386"/>
    </row>
    <row r="9" spans="1:26" ht="16.5" customHeight="1" x14ac:dyDescent="0.25">
      <c r="A9" s="141" t="s">
        <v>456</v>
      </c>
      <c r="B9" s="386" t="s">
        <v>457</v>
      </c>
      <c r="C9" s="386"/>
      <c r="D9" s="386"/>
      <c r="E9" s="386"/>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1" t="s">
        <v>390</v>
      </c>
      <c r="I12" s="381"/>
      <c r="J12" s="382"/>
    </row>
    <row r="13" spans="1:26" ht="18.75" customHeight="1" thickBot="1" x14ac:dyDescent="0.25">
      <c r="B13" s="142" t="s">
        <v>239</v>
      </c>
      <c r="C13" s="218">
        <f>VLOOKUP(B13,'רשימת גופים'!A3:B230,2,0)</f>
        <v>570009852</v>
      </c>
      <c r="D13" s="155" t="s">
        <v>534</v>
      </c>
      <c r="E13" s="156" t="s">
        <v>535</v>
      </c>
      <c r="F13" s="156">
        <v>2020</v>
      </c>
      <c r="G13" s="209" t="s">
        <v>447</v>
      </c>
      <c r="H13" s="383" t="str">
        <f>CONCATENATE("netunim","_",C13,"_",F13,".xlsx")</f>
        <v>netunim_570009852_2020.xlsx</v>
      </c>
      <c r="I13" s="384"/>
      <c r="J13" s="385"/>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0.45054945054945056</v>
      </c>
      <c r="E10" s="116">
        <f>IF('נספח א4 - P'!$D$14=0,"",'נספח א4 - P'!F14/'נספח א4 - P'!$D$14)</f>
        <v>9.0659340659340656E-2</v>
      </c>
      <c r="F10" s="116">
        <f>IF('נספח א4 - P'!$D$14=0,"",'נספח א4 - P'!G14/'נספח א4 - P'!$D$14)</f>
        <v>6.6483516483516483E-2</v>
      </c>
      <c r="G10" s="116">
        <f>IF('נספח א4 - P'!$D$14=0,"",'נספח א4 - P'!H14/'נספח א4 - P'!$D$14)</f>
        <v>3.9010989010989011E-2</v>
      </c>
      <c r="H10" s="116">
        <f>IF('נספח א4 - P'!$D$14=0,"",'נספח א4 - P'!I14/'נספח א4 - P'!$D$14)</f>
        <v>6.9230769230769235E-2</v>
      </c>
      <c r="I10" s="116">
        <f>IF('נספח א4 - P'!$D$14=0,"",'נספח א4 - P'!J14/'נספח א4 - P'!$D$14)</f>
        <v>0.28406593406593406</v>
      </c>
      <c r="J10" s="116">
        <f>IF('נספח א4 - P'!$K$14=0,"",'נספח א4 - P'!K14/'נספח א4 - P'!$K$14)</f>
        <v>1</v>
      </c>
      <c r="K10" s="116">
        <f>IF('נספח א4 - P'!$K$14=0,"",'נספח א4 - P'!L14/'נספח א4 - P'!$K$14)</f>
        <v>0.94713328369322414</v>
      </c>
      <c r="L10" s="116">
        <f>IF('נספח א4 - P'!$K$14=0,"",'נספח א4 - P'!M14/'נספח א4 - P'!$K$14)</f>
        <v>3.2017870439314963E-2</v>
      </c>
      <c r="M10" s="116">
        <f>IF('נספח א4 - P'!$K$14=0,"",'נספח א4 - P'!N14/'נספח א4 - P'!$K$14)</f>
        <v>0</v>
      </c>
      <c r="N10" s="116">
        <f>IF('נספח א4 - P'!$K$14=0,"",'נספח א4 - P'!O14/'נספח א4 - P'!$K$14)</f>
        <v>4.4676098287416231E-3</v>
      </c>
      <c r="O10" s="116">
        <f>IF('נספח א4 - P'!$K$14=0,"",'נספח א4 - P'!P14/'נספח א4 - P'!$K$14)</f>
        <v>6.7014147431124346E-3</v>
      </c>
      <c r="P10" s="117">
        <f>IF('נספח א4 - P'!$K$14=0,"",'נספח א4 - P'!Q14/'נספח א4 - P'!$K$14)</f>
        <v>9.6798212956068497E-3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2020</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2020</v>
      </c>
    </row>
    <row r="4" spans="2:23" ht="18.75" x14ac:dyDescent="0.3">
      <c r="B4" s="182" t="s">
        <v>425</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495</v>
      </c>
      <c r="E7" s="47" t="s">
        <v>496</v>
      </c>
      <c r="F7" s="11" t="s">
        <v>394</v>
      </c>
      <c r="G7" s="11" t="s">
        <v>395</v>
      </c>
      <c r="H7" s="11" t="s">
        <v>396</v>
      </c>
      <c r="I7" s="157" t="s">
        <v>41</v>
      </c>
      <c r="J7" s="522"/>
      <c r="K7" s="11" t="s">
        <v>495</v>
      </c>
      <c r="L7" s="47" t="s">
        <v>496</v>
      </c>
      <c r="M7" s="11" t="s">
        <v>394</v>
      </c>
      <c r="N7" s="11" t="s">
        <v>395</v>
      </c>
      <c r="O7" s="11" t="s">
        <v>396</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394</v>
      </c>
      <c r="I31" s="11" t="s">
        <v>395</v>
      </c>
      <c r="J31" s="11" t="s">
        <v>396</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525</v>
      </c>
      <c r="C38" s="545" t="s">
        <v>462</v>
      </c>
      <c r="D38" s="545"/>
      <c r="E38" s="546"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446</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495</v>
      </c>
      <c r="H95" s="326" t="s">
        <v>496</v>
      </c>
      <c r="I95" s="325" t="s">
        <v>394</v>
      </c>
      <c r="J95" s="325" t="s">
        <v>395</v>
      </c>
      <c r="K95" s="325" t="s">
        <v>396</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498</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9" t="s">
        <v>499</v>
      </c>
      <c r="C99" s="500" t="s">
        <v>458</v>
      </c>
      <c r="D99" s="500"/>
      <c r="E99" s="501"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521</v>
      </c>
      <c r="C103" s="500" t="s">
        <v>462</v>
      </c>
      <c r="D103" s="500"/>
      <c r="E103" s="501"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446</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79" workbookViewId="0">
      <selection activeCell="A209" sqref="A209"/>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90" t="s">
        <v>454</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532</v>
      </c>
      <c r="B196">
        <v>515764868</v>
      </c>
    </row>
    <row r="197" spans="1:2" x14ac:dyDescent="0.2">
      <c r="A197" t="s">
        <v>531</v>
      </c>
      <c r="B197">
        <v>515761625</v>
      </c>
    </row>
    <row r="198" spans="1:2" x14ac:dyDescent="0.2">
      <c r="A198" s="212" t="s">
        <v>533</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מקפת מרכז לפנסיה ותגמולים אגודה שיתופית בע"מ</v>
      </c>
    </row>
    <row r="3" spans="1:145" ht="15.75" x14ac:dyDescent="0.25">
      <c r="B3" s="183" t="str">
        <f>CONCATENATE(הוראות!Z13,הוראות!F13)</f>
        <v>הנתונים ביחידות בודדות לשנת 2020</v>
      </c>
    </row>
    <row r="4" spans="1:145" ht="12.75" customHeight="1" x14ac:dyDescent="0.2">
      <c r="B4" s="182" t="s">
        <v>425</v>
      </c>
      <c r="C4" s="424" t="s">
        <v>26</v>
      </c>
      <c r="D4" s="425"/>
      <c r="E4" s="425"/>
      <c r="F4" s="425"/>
      <c r="G4" s="425"/>
      <c r="H4" s="425"/>
      <c r="I4" s="426"/>
      <c r="J4" s="431" t="s">
        <v>27</v>
      </c>
      <c r="K4" s="432"/>
      <c r="L4" s="432"/>
      <c r="M4" s="432"/>
      <c r="N4" s="432"/>
      <c r="O4" s="432"/>
      <c r="P4" s="432"/>
      <c r="Q4" s="432"/>
      <c r="R4" s="432"/>
      <c r="S4" s="432"/>
      <c r="T4" s="432"/>
      <c r="U4" s="432"/>
      <c r="V4" s="432"/>
      <c r="W4" s="433"/>
      <c r="X4" s="431" t="s">
        <v>529</v>
      </c>
      <c r="Y4" s="432"/>
      <c r="Z4" s="432"/>
      <c r="AA4" s="432"/>
      <c r="AB4" s="432"/>
      <c r="AC4" s="432"/>
      <c r="AD4" s="432"/>
      <c r="AE4" s="432"/>
      <c r="AF4" s="432"/>
      <c r="AG4" s="432"/>
      <c r="AH4" s="432"/>
      <c r="AI4" s="432"/>
      <c r="AJ4" s="432"/>
      <c r="AK4" s="433"/>
      <c r="AL4" s="431" t="s">
        <v>530</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502</v>
      </c>
      <c r="E7" s="47" t="s">
        <v>503</v>
      </c>
      <c r="F7" s="47" t="s">
        <v>36</v>
      </c>
      <c r="G7" s="47" t="s">
        <v>37</v>
      </c>
      <c r="H7" s="47" t="s">
        <v>38</v>
      </c>
      <c r="I7" s="160" t="s">
        <v>39</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c r="AL7" s="406"/>
      <c r="AM7" s="240" t="s">
        <v>495</v>
      </c>
      <c r="AN7" s="47" t="s">
        <v>496</v>
      </c>
      <c r="AO7" s="47" t="s">
        <v>394</v>
      </c>
      <c r="AP7" s="47" t="s">
        <v>395</v>
      </c>
      <c r="AQ7" s="47" t="s">
        <v>396</v>
      </c>
      <c r="AR7" s="160" t="s">
        <v>41</v>
      </c>
      <c r="AS7" s="406"/>
      <c r="AT7" s="240" t="s">
        <v>495</v>
      </c>
      <c r="AU7" s="47" t="s">
        <v>496</v>
      </c>
      <c r="AV7" s="47" t="s">
        <v>394</v>
      </c>
      <c r="AW7" s="47" t="s">
        <v>395</v>
      </c>
      <c r="AX7" s="47" t="s">
        <v>396</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501</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2020</v>
      </c>
    </row>
    <row r="4" spans="1:46" x14ac:dyDescent="0.2">
      <c r="B4" s="182" t="s">
        <v>425</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501</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500</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2" t="s">
        <v>499</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מקפת מרכז לפנסיה ותגמולים אגודה שיתופית בע"מ</v>
      </c>
    </row>
    <row r="3" spans="1:121" ht="15.75" x14ac:dyDescent="0.25">
      <c r="B3" s="225" t="str">
        <f>CONCATENATE(הוראות!Z13,הוראות!F13)</f>
        <v>הנתונים ביחידות בודדות לשנת 2020</v>
      </c>
    </row>
    <row r="4" spans="1:121" ht="12.75" customHeight="1" x14ac:dyDescent="0.2">
      <c r="B4" s="182" t="s">
        <v>425</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495</v>
      </c>
      <c r="E7" s="47" t="s">
        <v>496</v>
      </c>
      <c r="F7" s="47" t="s">
        <v>394</v>
      </c>
      <c r="G7" s="47" t="s">
        <v>395</v>
      </c>
      <c r="H7" s="47" t="s">
        <v>396</v>
      </c>
      <c r="I7" s="160" t="s">
        <v>41</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c r="AL7" s="406"/>
      <c r="AM7" s="240" t="s">
        <v>495</v>
      </c>
      <c r="AN7" s="47" t="s">
        <v>496</v>
      </c>
      <c r="AO7" s="47" t="s">
        <v>394</v>
      </c>
      <c r="AP7" s="47" t="s">
        <v>395</v>
      </c>
      <c r="AQ7" s="47" t="s">
        <v>396</v>
      </c>
      <c r="AR7" s="160" t="s">
        <v>41</v>
      </c>
      <c r="AS7" s="406"/>
      <c r="AT7" s="240" t="s">
        <v>495</v>
      </c>
      <c r="AU7" s="47" t="s">
        <v>496</v>
      </c>
      <c r="AV7" s="47" t="s">
        <v>394</v>
      </c>
      <c r="AW7" s="47" t="s">
        <v>395</v>
      </c>
      <c r="AX7" s="47" t="s">
        <v>396</v>
      </c>
      <c r="AY7" s="160" t="s">
        <v>41</v>
      </c>
      <c r="AZ7" s="406"/>
      <c r="BA7" s="240" t="s">
        <v>495</v>
      </c>
      <c r="BB7" s="47" t="s">
        <v>496</v>
      </c>
      <c r="BC7" s="47" t="s">
        <v>394</v>
      </c>
      <c r="BD7" s="47" t="s">
        <v>395</v>
      </c>
      <c r="BE7" s="47" t="s">
        <v>396</v>
      </c>
      <c r="BF7" s="160" t="s">
        <v>41</v>
      </c>
      <c r="BG7" s="406"/>
      <c r="BH7" s="240" t="s">
        <v>495</v>
      </c>
      <c r="BI7" s="47" t="s">
        <v>496</v>
      </c>
      <c r="BJ7" s="47" t="s">
        <v>394</v>
      </c>
      <c r="BK7" s="47" t="s">
        <v>395</v>
      </c>
      <c r="BL7" s="47" t="s">
        <v>396</v>
      </c>
      <c r="BM7" s="160" t="s">
        <v>41</v>
      </c>
      <c r="BN7" s="406"/>
      <c r="BO7" s="240" t="s">
        <v>495</v>
      </c>
      <c r="BP7" s="47" t="s">
        <v>496</v>
      </c>
      <c r="BQ7" s="47" t="s">
        <v>394</v>
      </c>
      <c r="BR7" s="47" t="s">
        <v>395</v>
      </c>
      <c r="BS7" s="47" t="s">
        <v>396</v>
      </c>
      <c r="BT7" s="160" t="s">
        <v>41</v>
      </c>
      <c r="BU7" s="406"/>
      <c r="BV7" s="240" t="s">
        <v>495</v>
      </c>
      <c r="BW7" s="47" t="s">
        <v>496</v>
      </c>
      <c r="BX7" s="47" t="s">
        <v>394</v>
      </c>
      <c r="BY7" s="47" t="s">
        <v>395</v>
      </c>
      <c r="BZ7" s="47" t="s">
        <v>396</v>
      </c>
      <c r="CA7" s="160" t="s">
        <v>41</v>
      </c>
      <c r="CB7" s="406"/>
      <c r="CC7" s="240" t="s">
        <v>495</v>
      </c>
      <c r="CD7" s="47" t="s">
        <v>496</v>
      </c>
      <c r="CE7" s="47" t="s">
        <v>394</v>
      </c>
      <c r="CF7" s="47" t="s">
        <v>395</v>
      </c>
      <c r="CG7" s="47" t="s">
        <v>396</v>
      </c>
      <c r="CH7" s="160" t="s">
        <v>41</v>
      </c>
      <c r="CI7" s="406"/>
      <c r="CJ7" s="240" t="s">
        <v>495</v>
      </c>
      <c r="CK7" s="47" t="s">
        <v>496</v>
      </c>
      <c r="CL7" s="47" t="s">
        <v>394</v>
      </c>
      <c r="CM7" s="47" t="s">
        <v>395</v>
      </c>
      <c r="CN7" s="47" t="s">
        <v>396</v>
      </c>
      <c r="CO7" s="160" t="s">
        <v>41</v>
      </c>
      <c r="CP7" s="406"/>
      <c r="CQ7" s="240" t="s">
        <v>495</v>
      </c>
      <c r="CR7" s="47" t="s">
        <v>496</v>
      </c>
      <c r="CS7" s="47" t="s">
        <v>394</v>
      </c>
      <c r="CT7" s="47" t="s">
        <v>395</v>
      </c>
      <c r="CU7" s="47" t="s">
        <v>396</v>
      </c>
      <c r="CV7" s="160" t="s">
        <v>41</v>
      </c>
      <c r="CW7" s="406"/>
      <c r="CX7" s="240" t="s">
        <v>495</v>
      </c>
      <c r="CY7" s="47" t="s">
        <v>496</v>
      </c>
      <c r="CZ7" s="47" t="s">
        <v>394</v>
      </c>
      <c r="DA7" s="47" t="s">
        <v>395</v>
      </c>
      <c r="DB7" s="47" t="s">
        <v>396</v>
      </c>
      <c r="DC7" s="160" t="s">
        <v>41</v>
      </c>
      <c r="DD7" s="406"/>
      <c r="DE7" s="240" t="s">
        <v>495</v>
      </c>
      <c r="DF7" s="47" t="s">
        <v>496</v>
      </c>
      <c r="DG7" s="47" t="s">
        <v>394</v>
      </c>
      <c r="DH7" s="47" t="s">
        <v>395</v>
      </c>
      <c r="DI7" s="47" t="s">
        <v>396</v>
      </c>
      <c r="DJ7" s="160" t="s">
        <v>41</v>
      </c>
      <c r="DK7" s="406"/>
      <c r="DL7" s="240" t="s">
        <v>495</v>
      </c>
      <c r="DM7" s="47" t="s">
        <v>496</v>
      </c>
      <c r="DN7" s="47" t="s">
        <v>394</v>
      </c>
      <c r="DO7" s="47" t="s">
        <v>395</v>
      </c>
      <c r="DP7" s="47" t="s">
        <v>396</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2020</v>
      </c>
      <c r="F3" s="121">
        <f>E3-1</f>
        <v>-1</v>
      </c>
    </row>
    <row r="4" spans="1:77" x14ac:dyDescent="0.2">
      <c r="B4" s="182" t="s">
        <v>425</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500</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2" t="s">
        <v>499</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X7" activePane="bottomRight" state="frozen"/>
      <selection activeCell="G33" sqref="G33"/>
      <selection pane="topRight" activeCell="G33" sqref="G33"/>
      <selection pane="bottomLeft" activeCell="G33" sqref="G33"/>
      <selection pane="bottomRight" activeCell="AK28" sqref="AK28"/>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מקפת מרכז לפנסיה ותגמולים אגודה שיתופית בע"מ</v>
      </c>
    </row>
    <row r="3" spans="1:39" ht="15.75" x14ac:dyDescent="0.25">
      <c r="B3" s="183" t="str">
        <f>CONCATENATE(הוראות!Z13,הוראות!F13)</f>
        <v>הנתונים ביחידות בודדות לשנת 2020</v>
      </c>
    </row>
    <row r="4" spans="1:39" ht="12.75" customHeight="1" x14ac:dyDescent="0.2">
      <c r="B4" s="182" t="s">
        <v>425</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495</v>
      </c>
      <c r="E7" s="47" t="s">
        <v>496</v>
      </c>
      <c r="F7" s="47" t="s">
        <v>394</v>
      </c>
      <c r="G7" s="47" t="s">
        <v>395</v>
      </c>
      <c r="H7" s="47" t="s">
        <v>396</v>
      </c>
      <c r="I7" s="160" t="s">
        <v>41</v>
      </c>
      <c r="J7" s="406"/>
      <c r="K7" s="240" t="s">
        <v>495</v>
      </c>
      <c r="L7" s="47" t="s">
        <v>496</v>
      </c>
      <c r="M7" s="47" t="s">
        <v>394</v>
      </c>
      <c r="N7" s="47" t="s">
        <v>395</v>
      </c>
      <c r="O7" s="47" t="s">
        <v>396</v>
      </c>
      <c r="P7" s="160" t="s">
        <v>41</v>
      </c>
      <c r="Q7" s="406"/>
      <c r="R7" s="240" t="s">
        <v>495</v>
      </c>
      <c r="S7" s="47" t="s">
        <v>496</v>
      </c>
      <c r="T7" s="47" t="s">
        <v>394</v>
      </c>
      <c r="U7" s="47" t="s">
        <v>395</v>
      </c>
      <c r="V7" s="47" t="s">
        <v>396</v>
      </c>
      <c r="W7" s="160" t="s">
        <v>41</v>
      </c>
      <c r="X7" s="406"/>
      <c r="Y7" s="240" t="s">
        <v>495</v>
      </c>
      <c r="Z7" s="47" t="s">
        <v>496</v>
      </c>
      <c r="AA7" s="47" t="s">
        <v>394</v>
      </c>
      <c r="AB7" s="47" t="s">
        <v>395</v>
      </c>
      <c r="AC7" s="47" t="s">
        <v>396</v>
      </c>
      <c r="AD7" s="160" t="s">
        <v>41</v>
      </c>
      <c r="AE7" s="406"/>
      <c r="AF7" s="240" t="s">
        <v>495</v>
      </c>
      <c r="AG7" s="47" t="s">
        <v>496</v>
      </c>
      <c r="AH7" s="47" t="s">
        <v>394</v>
      </c>
      <c r="AI7" s="47" t="s">
        <v>395</v>
      </c>
      <c r="AJ7" s="47" t="s">
        <v>396</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175</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331</v>
      </c>
      <c r="AF10" s="179"/>
      <c r="AG10" s="177"/>
      <c r="AH10" s="177"/>
      <c r="AI10" s="177"/>
      <c r="AJ10" s="177"/>
      <c r="AK10" s="178"/>
    </row>
    <row r="11" spans="1:39" ht="12.75" customHeight="1" x14ac:dyDescent="0.2">
      <c r="A11" s="166">
        <f>A10+1</f>
        <v>2</v>
      </c>
      <c r="B11" s="167" t="s">
        <v>75</v>
      </c>
      <c r="C11" s="318">
        <v>240</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343</v>
      </c>
      <c r="AF11" s="179"/>
      <c r="AG11" s="177"/>
      <c r="AH11" s="177"/>
      <c r="AI11" s="177"/>
      <c r="AJ11" s="177"/>
      <c r="AK11" s="178"/>
    </row>
    <row r="12" spans="1:39" x14ac:dyDescent="0.2">
      <c r="A12" s="166">
        <v>3</v>
      </c>
      <c r="B12" s="167" t="s">
        <v>498</v>
      </c>
      <c r="C12" s="250">
        <f>SUM(D12:I12)</f>
        <v>275</v>
      </c>
      <c r="D12" s="314">
        <v>150</v>
      </c>
      <c r="E12" s="308">
        <v>26</v>
      </c>
      <c r="F12" s="314">
        <v>65</v>
      </c>
      <c r="G12" s="314">
        <v>25</v>
      </c>
      <c r="H12" s="314">
        <v>5</v>
      </c>
      <c r="I12" s="315">
        <v>4</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459</v>
      </c>
      <c r="AF12" s="314">
        <v>63</v>
      </c>
      <c r="AG12" s="308">
        <v>216</v>
      </c>
      <c r="AH12" s="314">
        <v>162</v>
      </c>
      <c r="AI12" s="314">
        <v>17</v>
      </c>
      <c r="AJ12" s="314">
        <v>1</v>
      </c>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13</v>
      </c>
      <c r="D14" s="314">
        <v>2</v>
      </c>
      <c r="E14" s="308">
        <v>1</v>
      </c>
      <c r="F14" s="314">
        <v>4</v>
      </c>
      <c r="G14" s="314">
        <v>1</v>
      </c>
      <c r="H14" s="314">
        <v>1</v>
      </c>
      <c r="I14" s="315">
        <v>4</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5</v>
      </c>
      <c r="AF14" s="314">
        <v>3</v>
      </c>
      <c r="AG14" s="308"/>
      <c r="AH14" s="314">
        <v>1</v>
      </c>
      <c r="AI14" s="314">
        <v>1</v>
      </c>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288</v>
      </c>
      <c r="D17" s="233">
        <f t="shared" si="0"/>
        <v>152</v>
      </c>
      <c r="E17" s="32">
        <f t="shared" si="0"/>
        <v>27</v>
      </c>
      <c r="F17" s="29">
        <f t="shared" si="0"/>
        <v>69</v>
      </c>
      <c r="G17" s="29">
        <f t="shared" si="0"/>
        <v>26</v>
      </c>
      <c r="H17" s="29">
        <f t="shared" si="0"/>
        <v>6</v>
      </c>
      <c r="I17" s="33">
        <f t="shared" si="0"/>
        <v>8</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464</v>
      </c>
      <c r="AF17" s="31">
        <f t="shared" si="0"/>
        <v>66</v>
      </c>
      <c r="AG17" s="32">
        <f t="shared" si="0"/>
        <v>216</v>
      </c>
      <c r="AH17" s="29">
        <f t="shared" ref="AH17" si="1">SUM(AH12:AH16)</f>
        <v>163</v>
      </c>
      <c r="AI17" s="29">
        <f>SUM(AI12:AI16)</f>
        <v>18</v>
      </c>
      <c r="AJ17" s="29">
        <f>SUM(AJ12:AJ16)</f>
        <v>1</v>
      </c>
      <c r="AK17" s="180">
        <f>SUM(AK12:AK16)</f>
        <v>0</v>
      </c>
    </row>
    <row r="18" spans="1:37" x14ac:dyDescent="0.2">
      <c r="A18" s="166">
        <v>8</v>
      </c>
      <c r="B18" s="167" t="s">
        <v>524</v>
      </c>
      <c r="C18" s="250">
        <f>IF(C10+C11-C17=0,0,C10+C11-C17)</f>
        <v>127</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210</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11</v>
      </c>
      <c r="AF24" s="314"/>
      <c r="AG24" s="308">
        <v>1</v>
      </c>
      <c r="AH24" s="314">
        <v>3</v>
      </c>
      <c r="AI24" s="314">
        <v>1</v>
      </c>
      <c r="AJ24" s="314">
        <v>5</v>
      </c>
      <c r="AK24" s="315">
        <v>1</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1</v>
      </c>
      <c r="AF25" s="314"/>
      <c r="AG25" s="308"/>
      <c r="AH25" s="314"/>
      <c r="AI25" s="314">
        <v>1</v>
      </c>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2</v>
      </c>
      <c r="D27" s="314"/>
      <c r="E27" s="308"/>
      <c r="F27" s="314"/>
      <c r="G27" s="314"/>
      <c r="H27" s="314"/>
      <c r="I27" s="315">
        <v>2</v>
      </c>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1</v>
      </c>
      <c r="AF27" s="314"/>
      <c r="AG27" s="308"/>
      <c r="AH27" s="314"/>
      <c r="AI27" s="314"/>
      <c r="AJ27" s="314"/>
      <c r="AK27" s="315">
        <v>1</v>
      </c>
    </row>
    <row r="28" spans="1:37" x14ac:dyDescent="0.2">
      <c r="A28" s="171">
        <f>A27+1</f>
        <v>5</v>
      </c>
      <c r="B28" s="172" t="s">
        <v>86</v>
      </c>
      <c r="C28" s="251">
        <f t="shared" ref="C28:AF28" si="5">SUM(C24:C27)</f>
        <v>2</v>
      </c>
      <c r="D28" s="245">
        <f t="shared" si="5"/>
        <v>0</v>
      </c>
      <c r="E28" s="36">
        <f t="shared" si="5"/>
        <v>0</v>
      </c>
      <c r="F28" s="36">
        <f t="shared" si="5"/>
        <v>0</v>
      </c>
      <c r="G28" s="36">
        <f t="shared" si="5"/>
        <v>0</v>
      </c>
      <c r="H28" s="36">
        <f t="shared" si="5"/>
        <v>0</v>
      </c>
      <c r="I28" s="37">
        <f t="shared" si="5"/>
        <v>2</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13</v>
      </c>
      <c r="AF28" s="35">
        <f t="shared" si="5"/>
        <v>0</v>
      </c>
      <c r="AG28" s="36">
        <f t="shared" ref="AG28" si="6">SUM(AG24:AG27)</f>
        <v>1</v>
      </c>
      <c r="AH28" s="36">
        <f>SUM(AH24:AH27)</f>
        <v>3</v>
      </c>
      <c r="AI28" s="36">
        <f>SUM(AI24:AI27)</f>
        <v>2</v>
      </c>
      <c r="AJ28" s="36">
        <f>SUM(AJ24:AJ27)</f>
        <v>5</v>
      </c>
      <c r="AK28" s="38">
        <f>SUM(AK24:AK27)</f>
        <v>2</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0.95486111111111116</v>
      </c>
      <c r="D35" s="235">
        <f>IF((' פנסיוני א3'!D12+' פנסיוני א3'!K12)=0,0,(' פנסיוני א3'!D12+' פנסיוני א3'!K12)/(' פנסיוני א3'!$C$17+' פנסיוני א3'!$J$17))</f>
        <v>0.52083333333333337</v>
      </c>
      <c r="E35" s="235">
        <f>IF((' פנסיוני א3'!E12+' פנסיוני א3'!L12)=0,0,(' פנסיוני א3'!E12+' פנסיוני א3'!L12)/(' פנסיוני א3'!$C$17+' פנסיוני א3'!$J$17))</f>
        <v>9.0277777777777776E-2</v>
      </c>
      <c r="F35" s="235">
        <f>IF((' פנסיוני א3'!F12+' פנסיוני א3'!M12)=0,0,(' פנסיוני א3'!F12+' פנסיוני א3'!M12)/(' פנסיוני א3'!$C$17+' פנסיוני א3'!$J$17))</f>
        <v>0.22569444444444445</v>
      </c>
      <c r="G35" s="235">
        <f>IF((' פנסיוני א3'!G12+' פנסיוני א3'!N12)=0,0,(' פנסיוני א3'!G12+' פנסיוני א3'!N12)/(' פנסיוני א3'!$C$17+' פנסיוני א3'!$J$17))</f>
        <v>8.6805555555555552E-2</v>
      </c>
      <c r="H35" s="235">
        <f>IF((' פנסיוני א3'!H12+' פנסיוני א3'!O12)=0,0,(' פנסיוני א3'!H12+' פנסיוני א3'!O12)/(' פנסיוני א3'!$C$17+' פנסיוני א3'!$J$17))</f>
        <v>1.7361111111111112E-2</v>
      </c>
      <c r="I35" s="235">
        <f>IF((' פנסיוני א3'!I12+' פנסיוני א3'!P12)=0,0,(' פנסיוני א3'!I12+' פנסיוני א3'!P12)/(' פנסיוני א3'!$C$17+' פנסיוני א3'!$J$17))</f>
        <v>1.3888888888888888E-2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0.98922413793103448</v>
      </c>
      <c r="R35" s="235">
        <f>IF(' פנסיוני א3'!AF12=0,0,' פנסיוני א3'!AF12/' פנסיוני א3'!$AE$17)</f>
        <v>0.13577586206896552</v>
      </c>
      <c r="S35" s="235">
        <f>IF(' פנסיוני א3'!AG12=0,0,' פנסיוני א3'!AG12/' פנסיוני א3'!$AE$17)</f>
        <v>0.46551724137931033</v>
      </c>
      <c r="T35" s="235">
        <f>IF(' פנסיוני א3'!AH12=0,0,' פנסיוני א3'!AH12/' פנסיוני א3'!$AE$17)</f>
        <v>0.34913793103448276</v>
      </c>
      <c r="U35" s="235">
        <f>IF(' פנסיוני א3'!AI12=0,0,' פנסיוני א3'!AI12/' פנסיוני א3'!$AE$17)</f>
        <v>3.6637931034482756E-2</v>
      </c>
      <c r="V35" s="235">
        <f>IF(' פנסיוני א3'!AJ12=0,0,' פנסיוני א3'!AJ12/' פנסיוני א3'!$AE$17)</f>
        <v>2.1551724137931034E-3</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4.5138888888888888E-2</v>
      </c>
      <c r="D37" s="79">
        <f>IF((' פנסיוני א3'!D14+' פנסיוני א3'!K14)=0,0,(' פנסיוני א3'!D14+' פנסיוני א3'!K14)/(' פנסיוני א3'!$C$17+' פנסיוני א3'!$J$17))</f>
        <v>6.9444444444444441E-3</v>
      </c>
      <c r="E37" s="79">
        <f>IF((' פנסיוני א3'!E14+' פנסיוני א3'!L14)=0,0,(' פנסיוני א3'!E14+' פנסיוני א3'!L14)/(' פנסיוני א3'!$C$17+' פנסיוני א3'!$J$17))</f>
        <v>3.472222222222222E-3</v>
      </c>
      <c r="F37" s="79">
        <f>IF((' פנסיוני א3'!F14+' פנסיוני א3'!M14)=0,0,(' פנסיוני א3'!F14+' פנסיוני א3'!M14)/(' פנסיוני א3'!$C$17+' פנסיוני א3'!$J$17))</f>
        <v>1.3888888888888888E-2</v>
      </c>
      <c r="G37" s="79">
        <f>IF((' פנסיוני א3'!G14+' פנסיוני א3'!N14)=0,0,(' פנסיוני א3'!G14+' פנסיוני א3'!N14)/(' פנסיוני א3'!$C$17+' פנסיוני א3'!$J$17))</f>
        <v>3.472222222222222E-3</v>
      </c>
      <c r="H37" s="79">
        <f>IF((' פנסיוני א3'!H14+' פנסיוני א3'!O14)=0,0,(' פנסיוני א3'!H14+' פנסיוני א3'!O14)/(' פנסיוני א3'!$C$17+' פנסיוני א3'!$J$17))</f>
        <v>3.472222222222222E-3</v>
      </c>
      <c r="I37" s="79">
        <f>IF((' פנסיוני א3'!I14+' פנסיוני א3'!P14)=0,0,(' פנסיוני א3'!I14+' פנסיוני א3'!P14)/(' פנסיוני א3'!$C$17+' פנסיוני א3'!$J$17))</f>
        <v>1.3888888888888888E-2</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1.0775862068965518E-2</v>
      </c>
      <c r="R37" s="79">
        <f>IF(' פנסיוני א3'!AF14=0,0,' פנסיוני א3'!AF14/' פנסיוני א3'!$AE$17)</f>
        <v>6.4655172413793103E-3</v>
      </c>
      <c r="S37" s="79">
        <f>IF(' פנסיוני א3'!AG14=0,0,' פנסיוני א3'!AG14/' פנסיוני א3'!$AE$17)</f>
        <v>0</v>
      </c>
      <c r="T37" s="79">
        <f>IF(' פנסיוני א3'!AH14=0,0,' פנסיוני א3'!AH14/' פנסיוני א3'!$AE$17)</f>
        <v>2.1551724137931034E-3</v>
      </c>
      <c r="U37" s="79">
        <f>IF(' פנסיוני א3'!AI14=0,0,' פנסיוני א3'!AI14/' פנסיוני א3'!$AE$17)</f>
        <v>2.1551724137931034E-3</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0.52777777777777779</v>
      </c>
      <c r="E40" s="237">
        <f t="shared" si="7"/>
        <v>9.375E-2</v>
      </c>
      <c r="F40" s="237">
        <f t="shared" si="7"/>
        <v>0.23958333333333334</v>
      </c>
      <c r="G40" s="237">
        <f t="shared" si="7"/>
        <v>9.0277777777777776E-2</v>
      </c>
      <c r="H40" s="237">
        <f t="shared" si="7"/>
        <v>2.0833333333333336E-2</v>
      </c>
      <c r="I40" s="238">
        <f t="shared" si="7"/>
        <v>2.7777777777777776E-2</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0.14224137931034483</v>
      </c>
      <c r="S40" s="237">
        <f t="shared" si="9"/>
        <v>0.46551724137931033</v>
      </c>
      <c r="T40" s="237">
        <f t="shared" si="9"/>
        <v>0.35129310344827586</v>
      </c>
      <c r="U40" s="237">
        <f t="shared" si="9"/>
        <v>3.8793103448275856E-2</v>
      </c>
      <c r="V40" s="237">
        <f t="shared" si="9"/>
        <v>2.1551724137931034E-3</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0.84615384615384626</v>
      </c>
      <c r="R46" s="79">
        <f>IF(' פנסיוני א3'!AF24=0,0,' פנסיוני א3'!AF24/' פנסיוני א3'!$AE$28)</f>
        <v>0</v>
      </c>
      <c r="S46" s="79">
        <f>IF(' פנסיוני א3'!AG24=0,0,' פנסיוני א3'!AG24/' פנסיוני א3'!$AE$28)</f>
        <v>7.6923076923076927E-2</v>
      </c>
      <c r="T46" s="79">
        <f>IF(' פנסיוני א3'!AH24=0,0,' פנסיוני א3'!AH24/' פנסיוני א3'!$AE$28)</f>
        <v>0.23076923076923078</v>
      </c>
      <c r="U46" s="79">
        <f>IF(' פנסיוני א3'!AI24=0,0,' פנסיוני א3'!AI24/' פנסיוני א3'!$AE$28)</f>
        <v>7.6923076923076927E-2</v>
      </c>
      <c r="V46" s="79">
        <f>IF(' פנסיוני א3'!AJ24=0,0,' פנסיוני א3'!AJ24/' פנסיוני א3'!$AE$28)</f>
        <v>0.38461538461538464</v>
      </c>
      <c r="W46" s="81">
        <f>IF(' פנסיוני א3'!AK24=0,0,' פנסיוני א3'!AK24/' פנסיוני א3'!$AE$28)</f>
        <v>7.6923076923076927E-2</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7.6923076923076927E-2</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7.6923076923076927E-2</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1</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1</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7.6923076923076927E-2</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7.6923076923076927E-2</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7.6923076923076927E-2</v>
      </c>
      <c r="T50" s="103">
        <f t="shared" si="11"/>
        <v>0.23076923076923078</v>
      </c>
      <c r="U50" s="103">
        <f t="shared" si="11"/>
        <v>0.15384615384615385</v>
      </c>
      <c r="V50" s="103">
        <f t="shared" si="11"/>
        <v>0.38461538461538464</v>
      </c>
      <c r="W50" s="102">
        <f t="shared" si="11"/>
        <v>0.15384615384615385</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מקפת מרכז לפנסיה ותגמולים אגודה שיתופית בע"מ</v>
      </c>
    </row>
    <row r="3" spans="1:28" ht="12.75" customHeight="1" x14ac:dyDescent="0.3">
      <c r="A3" s="268"/>
      <c r="B3" s="183" t="str">
        <f>CONCATENATE(הוראות!Z13,הוראות!F13)</f>
        <v>הנתונים ביחידות בודדות לשנת 2020</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500</v>
      </c>
      <c r="C11" s="443"/>
      <c r="D11" s="444"/>
      <c r="E11" s="234">
        <f>SUM(F11:K11)</f>
        <v>0.95486111111111116</v>
      </c>
      <c r="F11" s="235">
        <f>IF((' פנסיוני א3'!D12+' פנסיוני א3'!K12)=0,0,(' פנסיוני א3'!D12+' פנסיוני א3'!K12)/(' פנסיוני א3'!$C$17+' פנסיוני א3'!$J$17))</f>
        <v>0.52083333333333337</v>
      </c>
      <c r="G11" s="235">
        <f>IF((' פנסיוני א3'!E12+' פנסיוני א3'!L12)=0,0,(' פנסיוני א3'!E12+' פנסיוני א3'!L12)/(' פנסיוני א3'!$C$17+' פנסיוני א3'!$J$17))</f>
        <v>9.0277777777777776E-2</v>
      </c>
      <c r="H11" s="235">
        <f>IF((' פנסיוני א3'!F12+' פנסיוני א3'!M12)=0,0,(' פנסיוני א3'!F12+' פנסיוני א3'!M12)/(' פנסיוני א3'!$C$17+' פנסיוני א3'!$J$17))</f>
        <v>0.22569444444444445</v>
      </c>
      <c r="I11" s="235">
        <f>IF((' פנסיוני א3'!G12+' פנסיוני א3'!N12)=0,0,(' פנסיוני א3'!G12+' פנסיוני א3'!N12)/(' פנסיוני א3'!$C$17+' פנסיוני א3'!$J$17))</f>
        <v>8.6805555555555552E-2</v>
      </c>
      <c r="J11" s="235">
        <f>IF((' פנסיוני א3'!H12+' פנסיוני א3'!O12)=0,0,(' פנסיוני א3'!H12+' פנסיוני א3'!O12)/(' פנסיוני א3'!$C$17+' פנסיוני א3'!$J$17))</f>
        <v>1.7361111111111112E-2</v>
      </c>
      <c r="K11" s="235">
        <f>IF((' פנסיוני א3'!I12+' פנסיוני א3'!P12)=0,0,(' פנסיוני א3'!I12+' פנסיוני א3'!P12)/(' פנסיוני א3'!$C$17+' פנסיוני א3'!$J$17))</f>
        <v>1.3888888888888888E-2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0.98922413793103448</v>
      </c>
      <c r="T11" s="235">
        <f>IF(' פנסיוני א3'!AF12=0,0,' פנסיוני א3'!AF12/' פנסיוני א3'!$AE$17)</f>
        <v>0.13577586206896552</v>
      </c>
      <c r="U11" s="235">
        <f>IF(' פנסיוני א3'!AG12=0,0,' פנסיוני א3'!AG12/' פנסיוני א3'!$AE$17)</f>
        <v>0.46551724137931033</v>
      </c>
      <c r="V11" s="235">
        <f>IF(' פנסיוני א3'!AH12=0,0,' פנסיוני א3'!AH12/' פנסיוני א3'!$AE$17)</f>
        <v>0.34913793103448276</v>
      </c>
      <c r="W11" s="235">
        <f>IF(' פנסיוני א3'!AI12=0,0,' פנסיוני א3'!AI12/' פנסיוני א3'!$AE$17)</f>
        <v>3.6637931034482756E-2</v>
      </c>
      <c r="X11" s="235">
        <f>IF(' פנסיוני א3'!AJ12=0,0,' פנסיוני א3'!AJ12/' פנסיוני א3'!$AE$17)</f>
        <v>2.1551724137931034E-3</v>
      </c>
      <c r="Y11" s="239">
        <f>IF(' פנסיוני א3'!AK12=0,0,' פנסיוני א3'!AK12/' פנסיוני א3'!$AE$17)</f>
        <v>0</v>
      </c>
    </row>
    <row r="12" spans="1:28" x14ac:dyDescent="0.2">
      <c r="A12" s="300" t="s">
        <v>522</v>
      </c>
      <c r="B12" s="442" t="s">
        <v>499</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4.5138888888888888E-2</v>
      </c>
      <c r="F13" s="79">
        <f>IF((' פנסיוני א3'!D14+' פנסיוני א3'!K14)=0,0,(' פנסיוני א3'!D14+' פנסיוני א3'!K14)/(' פנסיוני א3'!$C$17+' פנסיוני א3'!$J$17))</f>
        <v>6.9444444444444441E-3</v>
      </c>
      <c r="G13" s="79">
        <f>IF((' פנסיוני א3'!E14+' פנסיוני א3'!L14)=0,0,(' פנסיוני א3'!E14+' פנסיוני א3'!L14)/(' פנסיוני א3'!$C$17+' פנסיוני א3'!$J$17))</f>
        <v>3.472222222222222E-3</v>
      </c>
      <c r="H13" s="79">
        <f>IF((' פנסיוני א3'!F14+' פנסיוני א3'!M14)=0,0,(' פנסיוני א3'!F14+' פנסיוני א3'!M14)/(' פנסיוני א3'!$C$17+' פנסיוני א3'!$J$17))</f>
        <v>1.3888888888888888E-2</v>
      </c>
      <c r="I13" s="79">
        <f>IF((' פנסיוני א3'!G14+' פנסיוני א3'!N14)=0,0,(' פנסיוני א3'!G14+' פנסיוני א3'!N14)/(' פנסיוני א3'!$C$17+' פנסיוני א3'!$J$17))</f>
        <v>3.472222222222222E-3</v>
      </c>
      <c r="J13" s="79">
        <f>IF((' פנסיוני א3'!H14+' פנסיוני א3'!O14)=0,0,(' פנסיוני א3'!H14+' פנסיוני א3'!O14)/(' פנסיוני א3'!$C$17+' פנסיוני א3'!$J$17))</f>
        <v>3.472222222222222E-3</v>
      </c>
      <c r="K13" s="79">
        <f>IF((' פנסיוני א3'!I14+' פנסיוני א3'!P14)=0,0,(' פנסיוני א3'!I14+' פנסיוני א3'!P14)/(' פנסיוני א3'!$C$17+' פנסיוני א3'!$J$17))</f>
        <v>1.3888888888888888E-2</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1.0775862068965518E-2</v>
      </c>
      <c r="T13" s="79">
        <f>IF(' פנסיוני א3'!AF14=0,0,' פנסיוני א3'!AF14/' פנסיוני א3'!$AE$17)</f>
        <v>6.4655172413793103E-3</v>
      </c>
      <c r="U13" s="79">
        <f>IF(' פנסיוני א3'!AG14=0,0,' פנסיוני א3'!AG14/' פנסיוני א3'!$AE$17)</f>
        <v>0</v>
      </c>
      <c r="V13" s="79">
        <f>IF(' פנסיוני א3'!AH14=0,0,' פנסיוני א3'!AH14/' פנסיוני א3'!$AE$17)</f>
        <v>2.1551724137931034E-3</v>
      </c>
      <c r="W13" s="79">
        <f>IF(' פנסיוני א3'!AI14=0,0,' פנסיוני א3'!AI14/' פנסיוני א3'!$AE$17)</f>
        <v>2.1551724137931034E-3</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0.52777777777777779</v>
      </c>
      <c r="G16" s="237">
        <f t="shared" si="0"/>
        <v>9.375E-2</v>
      </c>
      <c r="H16" s="237">
        <f t="shared" si="0"/>
        <v>0.23958333333333334</v>
      </c>
      <c r="I16" s="237">
        <f t="shared" si="0"/>
        <v>9.0277777777777776E-2</v>
      </c>
      <c r="J16" s="237">
        <f t="shared" si="0"/>
        <v>2.0833333333333336E-2</v>
      </c>
      <c r="K16" s="238">
        <f t="shared" si="0"/>
        <v>2.7777777777777776E-2</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0.14224137931034483</v>
      </c>
      <c r="U16" s="237">
        <f t="shared" si="2"/>
        <v>0.46551724137931033</v>
      </c>
      <c r="V16" s="237">
        <f t="shared" si="2"/>
        <v>0.35129310344827586</v>
      </c>
      <c r="W16" s="237">
        <f t="shared" si="2"/>
        <v>3.8793103448275856E-2</v>
      </c>
      <c r="X16" s="237">
        <f t="shared" si="2"/>
        <v>2.1551724137931034E-3</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446</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0.84615384615384626</v>
      </c>
      <c r="T22" s="79">
        <f>IF(' פנסיוני א3'!AF24=0,0,' פנסיוני א3'!AF24/' פנסיוני א3'!$AE$28)</f>
        <v>0</v>
      </c>
      <c r="U22" s="79">
        <f>IF(' פנסיוני א3'!AG24=0,0,' פנסיוני א3'!AG24/' פנסיוני א3'!$AE$28)</f>
        <v>7.6923076923076927E-2</v>
      </c>
      <c r="V22" s="79">
        <f>IF(' פנסיוני א3'!AH24=0,0,' פנסיוני א3'!AH24/' פנסיוני א3'!$AE$28)</f>
        <v>0.23076923076923078</v>
      </c>
      <c r="W22" s="79">
        <f>IF(' פנסיוני א3'!AI24=0,0,' פנסיוני א3'!AI24/' פנסיוני א3'!$AE$28)</f>
        <v>7.6923076923076927E-2</v>
      </c>
      <c r="X22" s="79">
        <f>IF(' פנסיוני א3'!AJ24=0,0,' פנסיוני א3'!AJ24/' פנסיוני א3'!$AE$28)</f>
        <v>0.38461538461538464</v>
      </c>
      <c r="Y22" s="81">
        <f>IF(' פנסיוני א3'!AK24=0,0,' פנסיוני א3'!AK24/' פנסיוני א3'!$AE$28)</f>
        <v>7.6923076923076927E-2</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7.6923076923076927E-2</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7.6923076923076927E-2</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1</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1</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7.6923076923076927E-2</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7.6923076923076927E-2</v>
      </c>
    </row>
    <row r="26" spans="1:25" ht="13.5" thickBot="1" x14ac:dyDescent="0.25">
      <c r="A26" s="207">
        <v>5</v>
      </c>
      <c r="B26" s="464" t="s">
        <v>86</v>
      </c>
      <c r="C26" s="465"/>
      <c r="D26" s="466"/>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7.6923076923076927E-2</v>
      </c>
      <c r="V26" s="103">
        <f t="shared" si="5"/>
        <v>0.23076923076923078</v>
      </c>
      <c r="W26" s="103">
        <f t="shared" si="5"/>
        <v>0.15384615384615385</v>
      </c>
      <c r="X26" s="103">
        <f t="shared" si="5"/>
        <v>0.38461538461538464</v>
      </c>
      <c r="Y26" s="102">
        <f t="shared" si="5"/>
        <v>0.15384615384615385</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a46656d4-8850-49b3-aebd-68bd05f7f43d"/>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יוסי ויצמן</cp:lastModifiedBy>
  <cp:lastPrinted>2016-06-28T14:16:06Z</cp:lastPrinted>
  <dcterms:created xsi:type="dcterms:W3CDTF">2012-03-26T09:12:08Z</dcterms:created>
  <dcterms:modified xsi:type="dcterms:W3CDTF">2021-02-10T09:40:15Z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