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S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G35" i="5"/>
  <c r="H35" i="5"/>
  <c r="I35" i="5"/>
  <c r="E36" i="5"/>
  <c r="F36" i="5"/>
  <c r="G36" i="5"/>
  <c r="H36" i="5"/>
  <c r="I36" i="5"/>
  <c r="F37" i="5"/>
  <c r="G37" i="5"/>
  <c r="H37" i="5"/>
  <c r="I37" i="5"/>
  <c r="E38" i="5"/>
  <c r="F38" i="5"/>
  <c r="G38" i="5"/>
  <c r="H38" i="5"/>
  <c r="I38" i="5"/>
  <c r="E39" i="5"/>
  <c r="F39" i="5"/>
  <c r="G39" i="5"/>
  <c r="H39" i="5"/>
  <c r="I39" i="5"/>
  <c r="D36"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R12" i="26"/>
  <c r="U11" i="26"/>
  <c r="R13" i="26"/>
  <c r="J18" i="5"/>
  <c r="H11" i="26"/>
  <c r="J11" i="26"/>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I11" i="10"/>
  <c r="J11" i="10"/>
  <c r="K11" i="10"/>
  <c r="G12" i="10"/>
  <c r="H12" i="10"/>
  <c r="I12" i="10"/>
  <c r="J12" i="10"/>
  <c r="K12" i="10"/>
  <c r="H13" i="10"/>
  <c r="I13" i="10"/>
  <c r="J13" i="10"/>
  <c r="K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Q24" i="26"/>
  <c r="U25" i="26"/>
  <c r="T25" i="26"/>
  <c r="R25" i="26"/>
  <c r="K21" i="26"/>
  <c r="M25" i="26"/>
  <c r="P25" i="26"/>
  <c r="K24" i="26"/>
  <c r="K23" i="26"/>
  <c r="G26" i="10"/>
  <c r="E24" i="26"/>
  <c r="K18" i="26"/>
  <c r="O20" i="10"/>
  <c r="M19" i="26"/>
  <c r="K17" i="26"/>
  <c r="L19" i="26"/>
  <c r="P19" i="26"/>
  <c r="N19" i="26"/>
  <c r="G19" i="26"/>
  <c r="I19" i="26"/>
  <c r="E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AE17" i="5" l="1"/>
  <c r="S14" i="10"/>
  <c r="C17" i="5"/>
  <c r="D35" i="5" s="1"/>
  <c r="C18" i="5"/>
  <c r="F11" i="26"/>
  <c r="C36" i="5"/>
  <c r="S12" i="10"/>
  <c r="Y16" i="10"/>
  <c r="U35" i="5"/>
  <c r="U40" i="5" s="1"/>
  <c r="U11" i="10"/>
  <c r="U16" i="10" s="1"/>
  <c r="Q14" i="26"/>
  <c r="T11" i="10"/>
  <c r="T16" i="10" s="1"/>
  <c r="X16" i="10"/>
  <c r="R11" i="26"/>
  <c r="R15" i="26" s="1"/>
  <c r="R35" i="5"/>
  <c r="R40" i="5" s="1"/>
  <c r="W40" i="5"/>
  <c r="Q13" i="26"/>
  <c r="T35" i="5"/>
  <c r="S11" i="26"/>
  <c r="S15" i="10"/>
  <c r="S35" i="5"/>
  <c r="S40" i="5" s="1"/>
  <c r="U15" i="26"/>
  <c r="Q39" i="5"/>
  <c r="V40" i="5"/>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E14" i="26"/>
  <c r="H15" i="26"/>
  <c r="E15" i="10"/>
  <c r="I16" i="10"/>
  <c r="G13" i="10"/>
  <c r="E37" i="5"/>
  <c r="E14" i="10"/>
  <c r="J16" i="10"/>
  <c r="K16"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S15" i="26" l="1"/>
  <c r="T40" i="5"/>
  <c r="AE18" i="5"/>
  <c r="T11" i="26"/>
  <c r="T15" i="26" s="1"/>
  <c r="T37" i="5"/>
  <c r="Q37" i="5" s="1"/>
  <c r="V13" i="10"/>
  <c r="S13" i="10" s="1"/>
  <c r="S12" i="26"/>
  <c r="Q12" i="26" s="1"/>
  <c r="V11" i="10"/>
  <c r="V16" i="10" s="1"/>
  <c r="W11" i="10"/>
  <c r="W16" i="10" s="1"/>
  <c r="S11" i="10"/>
  <c r="F11" i="10"/>
  <c r="F12" i="26"/>
  <c r="F15" i="26" s="1"/>
  <c r="E35" i="5"/>
  <c r="C35" i="5" s="1"/>
  <c r="C40" i="5" s="1"/>
  <c r="G11" i="26"/>
  <c r="G15" i="26" s="1"/>
  <c r="D37" i="5"/>
  <c r="C37" i="5" s="1"/>
  <c r="F35" i="5"/>
  <c r="F40" i="5" s="1"/>
  <c r="G11" i="10"/>
  <c r="G16" i="10" s="1"/>
  <c r="H11" i="10"/>
  <c r="H16" i="10" s="1"/>
  <c r="F13" i="10"/>
  <c r="E13" i="10"/>
  <c r="D40" i="5"/>
  <c r="F16" i="10"/>
  <c r="S16" i="10"/>
  <c r="Q35" i="5"/>
  <c r="Q40" i="5"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Q11" i="26" l="1"/>
  <c r="Q15" i="26" s="1"/>
  <c r="E40" i="5"/>
  <c r="E12" i="26"/>
  <c r="E11" i="26"/>
  <c r="E11" i="10"/>
  <c r="E16" i="10"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5" i="26" l="1"/>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<sst xmlns="http://schemas.openxmlformats.org/spreadsheetml/2006/main" count="2486" uniqueCount="536">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</sst>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G18" sqref="G18"/>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345</v>
      </c>
      <c r="C13" s="218">
        <f>VLOOKUP(B13,'רשימת גופים'!A3:B230,2,0)</f>
        <v>570007476</v>
      </c>
      <c r="D13" s="155" t="s">
        <v>534</v>
      </c>
      <c r="E13" s="156" t="s">
        <v>535</v>
      </c>
      <c r="F13" s="156">
        <v>2020</v>
      </c>
      <c r="G13" s="209" t="s">
        <v>447</v>
      </c>
      <c r="H13" s="383" t="str">
        <f>CONCATENATE("netunim","_",C13,"_",F13,".xlsx")</f>
        <v>netunim_570007476_2020.xlsx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בטוח ופנסיה לפועלים חקלאים ובלתי מקצועיים בישראל אג' שיתופית בע"מ</v>
      </c>
    </row>
    <row r="3" spans="1:145" ht="15.75" x14ac:dyDescent="0.25">
      <c r="B3" s="183" t="str">
        <f>CONCATENATE(הוראות!Z13,הוראות!F13)</f>
        <v>הנתונים ביחידות בודדות לשנת 2020</v>
      </c>
    </row>
    <row r="4" spans="1:145" ht="12.75" customHeight="1" x14ac:dyDescent="0.2">
      <c r="B4" s="182" t="s">
        <v>425</v>
      </c>
      <c r="C4" s="424" t="s">
        <v>26</v>
      </c>
      <c r="D4" s="425"/>
      <c r="E4" s="425"/>
      <c r="F4" s="425"/>
      <c r="G4" s="425"/>
      <c r="H4" s="425"/>
      <c r="I4" s="426"/>
      <c r="J4" s="431" t="s">
        <v>27</v>
      </c>
      <c r="K4" s="432"/>
      <c r="L4" s="432"/>
      <c r="M4" s="432"/>
      <c r="N4" s="432"/>
      <c r="O4" s="432"/>
      <c r="P4" s="432"/>
      <c r="Q4" s="432"/>
      <c r="R4" s="432"/>
      <c r="S4" s="432"/>
      <c r="T4" s="432"/>
      <c r="U4" s="432"/>
      <c r="V4" s="432"/>
      <c r="W4" s="433"/>
      <c r="X4" s="431" t="s">
        <v>529</v>
      </c>
      <c r="Y4" s="432"/>
      <c r="Z4" s="432"/>
      <c r="AA4" s="432"/>
      <c r="AB4" s="432"/>
      <c r="AC4" s="432"/>
      <c r="AD4" s="432"/>
      <c r="AE4" s="432"/>
      <c r="AF4" s="432"/>
      <c r="AG4" s="432"/>
      <c r="AH4" s="432"/>
      <c r="AI4" s="432"/>
      <c r="AJ4" s="432"/>
      <c r="AK4" s="433"/>
      <c r="AL4" s="431" t="s">
        <v>530</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502</v>
      </c>
      <c r="E7" s="47" t="s">
        <v>503</v>
      </c>
      <c r="F7" s="47" t="s">
        <v>36</v>
      </c>
      <c r="G7" s="47" t="s">
        <v>37</v>
      </c>
      <c r="H7" s="47" t="s">
        <v>38</v>
      </c>
      <c r="I7" s="160" t="s">
        <v>39</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c r="AL7" s="406"/>
      <c r="AM7" s="240" t="s">
        <v>495</v>
      </c>
      <c r="AN7" s="47" t="s">
        <v>496</v>
      </c>
      <c r="AO7" s="47" t="s">
        <v>394</v>
      </c>
      <c r="AP7" s="47" t="s">
        <v>395</v>
      </c>
      <c r="AQ7" s="47" t="s">
        <v>396</v>
      </c>
      <c r="AR7" s="160" t="s">
        <v>41</v>
      </c>
      <c r="AS7" s="406"/>
      <c r="AT7" s="240" t="s">
        <v>495</v>
      </c>
      <c r="AU7" s="47" t="s">
        <v>496</v>
      </c>
      <c r="AV7" s="47" t="s">
        <v>394</v>
      </c>
      <c r="AW7" s="47" t="s">
        <v>395</v>
      </c>
      <c r="AX7" s="47" t="s">
        <v>396</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501</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בטוח ופנסיה לפועלים חקלאים ובלתי מקצועיים בישראל אג'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501</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500</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2" t="s">
        <v>499</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בטוח ופנסיה לפועלים חקלאים ובלתי מקצועיים בישראל אג' שיתופית בע"מ</v>
      </c>
    </row>
    <row r="3" spans="1:121" ht="15.75" x14ac:dyDescent="0.25">
      <c r="B3" s="225" t="str">
        <f>CONCATENATE(הוראות!Z13,הוראות!F13)</f>
        <v>הנתונים ביחידות בודדות לשנת 2020</v>
      </c>
    </row>
    <row r="4" spans="1:121" ht="12.75" customHeight="1" x14ac:dyDescent="0.2">
      <c r="B4" s="182" t="s">
        <v>425</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495</v>
      </c>
      <c r="E7" s="47" t="s">
        <v>496</v>
      </c>
      <c r="F7" s="47" t="s">
        <v>394</v>
      </c>
      <c r="G7" s="47" t="s">
        <v>395</v>
      </c>
      <c r="H7" s="47" t="s">
        <v>396</v>
      </c>
      <c r="I7" s="160" t="s">
        <v>41</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c r="AL7" s="406"/>
      <c r="AM7" s="240" t="s">
        <v>495</v>
      </c>
      <c r="AN7" s="47" t="s">
        <v>496</v>
      </c>
      <c r="AO7" s="47" t="s">
        <v>394</v>
      </c>
      <c r="AP7" s="47" t="s">
        <v>395</v>
      </c>
      <c r="AQ7" s="47" t="s">
        <v>396</v>
      </c>
      <c r="AR7" s="160" t="s">
        <v>41</v>
      </c>
      <c r="AS7" s="406"/>
      <c r="AT7" s="240" t="s">
        <v>495</v>
      </c>
      <c r="AU7" s="47" t="s">
        <v>496</v>
      </c>
      <c r="AV7" s="47" t="s">
        <v>394</v>
      </c>
      <c r="AW7" s="47" t="s">
        <v>395</v>
      </c>
      <c r="AX7" s="47" t="s">
        <v>396</v>
      </c>
      <c r="AY7" s="160" t="s">
        <v>41</v>
      </c>
      <c r="AZ7" s="406"/>
      <c r="BA7" s="240" t="s">
        <v>495</v>
      </c>
      <c r="BB7" s="47" t="s">
        <v>496</v>
      </c>
      <c r="BC7" s="47" t="s">
        <v>394</v>
      </c>
      <c r="BD7" s="47" t="s">
        <v>395</v>
      </c>
      <c r="BE7" s="47" t="s">
        <v>396</v>
      </c>
      <c r="BF7" s="160" t="s">
        <v>41</v>
      </c>
      <c r="BG7" s="406"/>
      <c r="BH7" s="240" t="s">
        <v>495</v>
      </c>
      <c r="BI7" s="47" t="s">
        <v>496</v>
      </c>
      <c r="BJ7" s="47" t="s">
        <v>394</v>
      </c>
      <c r="BK7" s="47" t="s">
        <v>395</v>
      </c>
      <c r="BL7" s="47" t="s">
        <v>396</v>
      </c>
      <c r="BM7" s="160" t="s">
        <v>41</v>
      </c>
      <c r="BN7" s="406"/>
      <c r="BO7" s="240" t="s">
        <v>495</v>
      </c>
      <c r="BP7" s="47" t="s">
        <v>496</v>
      </c>
      <c r="BQ7" s="47" t="s">
        <v>394</v>
      </c>
      <c r="BR7" s="47" t="s">
        <v>395</v>
      </c>
      <c r="BS7" s="47" t="s">
        <v>396</v>
      </c>
      <c r="BT7" s="160" t="s">
        <v>41</v>
      </c>
      <c r="BU7" s="406"/>
      <c r="BV7" s="240" t="s">
        <v>495</v>
      </c>
      <c r="BW7" s="47" t="s">
        <v>496</v>
      </c>
      <c r="BX7" s="47" t="s">
        <v>394</v>
      </c>
      <c r="BY7" s="47" t="s">
        <v>395</v>
      </c>
      <c r="BZ7" s="47" t="s">
        <v>396</v>
      </c>
      <c r="CA7" s="160" t="s">
        <v>41</v>
      </c>
      <c r="CB7" s="406"/>
      <c r="CC7" s="240" t="s">
        <v>495</v>
      </c>
      <c r="CD7" s="47" t="s">
        <v>496</v>
      </c>
      <c r="CE7" s="47" t="s">
        <v>394</v>
      </c>
      <c r="CF7" s="47" t="s">
        <v>395</v>
      </c>
      <c r="CG7" s="47" t="s">
        <v>396</v>
      </c>
      <c r="CH7" s="160" t="s">
        <v>41</v>
      </c>
      <c r="CI7" s="406"/>
      <c r="CJ7" s="240" t="s">
        <v>495</v>
      </c>
      <c r="CK7" s="47" t="s">
        <v>496</v>
      </c>
      <c r="CL7" s="47" t="s">
        <v>394</v>
      </c>
      <c r="CM7" s="47" t="s">
        <v>395</v>
      </c>
      <c r="CN7" s="47" t="s">
        <v>396</v>
      </c>
      <c r="CO7" s="160" t="s">
        <v>41</v>
      </c>
      <c r="CP7" s="406"/>
      <c r="CQ7" s="240" t="s">
        <v>495</v>
      </c>
      <c r="CR7" s="47" t="s">
        <v>496</v>
      </c>
      <c r="CS7" s="47" t="s">
        <v>394</v>
      </c>
      <c r="CT7" s="47" t="s">
        <v>395</v>
      </c>
      <c r="CU7" s="47" t="s">
        <v>396</v>
      </c>
      <c r="CV7" s="160" t="s">
        <v>41</v>
      </c>
      <c r="CW7" s="406"/>
      <c r="CX7" s="240" t="s">
        <v>495</v>
      </c>
      <c r="CY7" s="47" t="s">
        <v>496</v>
      </c>
      <c r="CZ7" s="47" t="s">
        <v>394</v>
      </c>
      <c r="DA7" s="47" t="s">
        <v>395</v>
      </c>
      <c r="DB7" s="47" t="s">
        <v>396</v>
      </c>
      <c r="DC7" s="160" t="s">
        <v>41</v>
      </c>
      <c r="DD7" s="406"/>
      <c r="DE7" s="240" t="s">
        <v>495</v>
      </c>
      <c r="DF7" s="47" t="s">
        <v>496</v>
      </c>
      <c r="DG7" s="47" t="s">
        <v>394</v>
      </c>
      <c r="DH7" s="47" t="s">
        <v>395</v>
      </c>
      <c r="DI7" s="47" t="s">
        <v>396</v>
      </c>
      <c r="DJ7" s="160" t="s">
        <v>41</v>
      </c>
      <c r="DK7" s="406"/>
      <c r="DL7" s="240" t="s">
        <v>495</v>
      </c>
      <c r="DM7" s="47" t="s">
        <v>496</v>
      </c>
      <c r="DN7" s="47" t="s">
        <v>394</v>
      </c>
      <c r="DO7" s="47" t="s">
        <v>395</v>
      </c>
      <c r="DP7" s="47" t="s">
        <v>396</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בטוח ופנסיה לפועלים חקלאים ובלתי מקצועיים בישראל אג'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500</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2" t="s">
        <v>499</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H15" sqref="AH1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בטוח ופנסיה לפועלים חקלאים ובלתי מקצועיים בישראל אג' שיתופית בע"מ</v>
      </c>
    </row>
    <row r="3" spans="1:39" ht="15.75" x14ac:dyDescent="0.25">
      <c r="B3" s="183" t="str">
        <f>CONCATENATE(הוראות!Z13,הוראות!F13)</f>
        <v>הנתונים ביחידות בודדות לשנת 2020</v>
      </c>
    </row>
    <row r="4" spans="1:39" ht="12.75" customHeight="1" x14ac:dyDescent="0.2">
      <c r="B4" s="182" t="s">
        <v>425</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495</v>
      </c>
      <c r="E7" s="47" t="s">
        <v>496</v>
      </c>
      <c r="F7" s="47" t="s">
        <v>394</v>
      </c>
      <c r="G7" s="47" t="s">
        <v>395</v>
      </c>
      <c r="H7" s="47" t="s">
        <v>396</v>
      </c>
      <c r="I7" s="160" t="s">
        <v>41</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3</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253</v>
      </c>
      <c r="AF10" s="179"/>
      <c r="AG10" s="177"/>
      <c r="AH10" s="177"/>
      <c r="AI10" s="177"/>
      <c r="AJ10" s="177"/>
      <c r="AK10" s="178"/>
    </row>
    <row r="11" spans="1:39" ht="12.75" customHeight="1" x14ac:dyDescent="0.2">
      <c r="A11" s="166">
        <f>A10+1</f>
        <v>2</v>
      </c>
      <c r="B11" s="167" t="s">
        <v>75</v>
      </c>
      <c r="C11" s="318">
        <v>13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52</v>
      </c>
      <c r="AF11" s="179"/>
      <c r="AG11" s="177"/>
      <c r="AH11" s="177"/>
      <c r="AI11" s="177"/>
      <c r="AJ11" s="177"/>
      <c r="AK11" s="178"/>
    </row>
    <row r="12" spans="1:39" x14ac:dyDescent="0.2">
      <c r="A12" s="166">
        <v>3</v>
      </c>
      <c r="B12" s="167" t="s">
        <v>498</v>
      </c>
      <c r="C12" s="250">
        <f>SUM(D12:I12)</f>
        <v>12</v>
      </c>
      <c r="D12" s="314">
        <v>7</v>
      </c>
      <c r="E12" s="308">
        <v>2</v>
      </c>
      <c r="F12" s="314">
        <v>3</v>
      </c>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58</v>
      </c>
      <c r="AF12" s="314">
        <v>15</v>
      </c>
      <c r="AG12" s="308">
        <v>21</v>
      </c>
      <c r="AH12" s="314">
        <v>20</v>
      </c>
      <c r="AI12" s="314">
        <v>2</v>
      </c>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v>
      </c>
      <c r="D14" s="314">
        <v>1</v>
      </c>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c r="AH14" s="314">
        <v>1</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13</v>
      </c>
      <c r="D17" s="233">
        <f t="shared" si="0"/>
        <v>8</v>
      </c>
      <c r="E17" s="32">
        <f t="shared" si="0"/>
        <v>2</v>
      </c>
      <c r="F17" s="29">
        <f t="shared" si="0"/>
        <v>3</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59</v>
      </c>
      <c r="AF17" s="31">
        <f t="shared" si="0"/>
        <v>15</v>
      </c>
      <c r="AG17" s="32">
        <f t="shared" si="0"/>
        <v>21</v>
      </c>
      <c r="AH17" s="29">
        <f t="shared" ref="AH17" si="1">SUM(AH12:AH16)</f>
        <v>21</v>
      </c>
      <c r="AI17" s="29">
        <f>SUM(AI12:AI16)</f>
        <v>2</v>
      </c>
      <c r="AJ17" s="29">
        <f>SUM(AJ12:AJ16)</f>
        <v>0</v>
      </c>
      <c r="AK17" s="180">
        <f>SUM(AK12:AK16)</f>
        <v>0</v>
      </c>
    </row>
    <row r="18" spans="1:37" x14ac:dyDescent="0.2">
      <c r="A18" s="166">
        <v>8</v>
      </c>
      <c r="B18" s="167" t="s">
        <v>524</v>
      </c>
      <c r="C18" s="250">
        <f>IF(C10+C11-C17=0,0,C10+C11-C17)</f>
        <v>3</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246</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0.92307692307692313</v>
      </c>
      <c r="D35" s="235">
        <f>IF((' פנסיוני א3'!D12+' פנסיוני א3'!K12)=0,0,(' פנסיוני א3'!D12+' פנסיוני א3'!K12)/(' פנסיוני א3'!$C$17+' פנסיוני א3'!$J$17))</f>
        <v>0.53846153846153844</v>
      </c>
      <c r="E35" s="235">
        <f>IF((' פנסיוני א3'!E12+' פנסיוני א3'!L12)=0,0,(' פנסיוני א3'!E12+' פנסיוני א3'!L12)/(' פנסיוני א3'!$C$17+' פנסיוני א3'!$J$17))</f>
        <v>0.15384615384615385</v>
      </c>
      <c r="F35" s="235">
        <f>IF((' פנסיוני א3'!F12+' פנסיוני א3'!M12)=0,0,(' פנסיוני א3'!F12+' פנסיוני א3'!M12)/(' פנסיוני א3'!$C$17+' פנסיוני א3'!$J$17))</f>
        <v>0.23076923076923078</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0.98305084745762705</v>
      </c>
      <c r="R35" s="235">
        <f>IF(' פנסיוני א3'!AF12=0,0,' פנסיוני א3'!AF12/' פנסיוני א3'!$AE$17)</f>
        <v>0.25423728813559321</v>
      </c>
      <c r="S35" s="235">
        <f>IF(' פנסיוני א3'!AG12=0,0,' פנסיוני א3'!AG12/' פנסיוני א3'!$AE$17)</f>
        <v>0.3559322033898305</v>
      </c>
      <c r="T35" s="235">
        <f>IF(' פנסיוני א3'!AH12=0,0,' פנסיוני א3'!AH12/' פנסיוני א3'!$AE$17)</f>
        <v>0.33898305084745761</v>
      </c>
      <c r="U35" s="235">
        <f>IF(' פנסיוני א3'!AI12=0,0,' פנסיוני א3'!AI12/' פנסיוני א3'!$AE$17)</f>
        <v>3.3898305084745763E-2</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7.6923076923076927E-2</v>
      </c>
      <c r="D37" s="79">
        <f>IF((' פנסיוני א3'!D14+' פנסיוני א3'!K14)=0,0,(' פנסיוני א3'!D14+' פנסיוני א3'!K14)/(' פנסיוני א3'!$C$17+' פנסיוני א3'!$J$17))</f>
        <v>7.6923076923076927E-2</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1.6949152542372881E-2</v>
      </c>
      <c r="R37" s="79">
        <f>IF(' פנסיוני א3'!AF14=0,0,' פנסיוני א3'!AF14/' פנסיוני א3'!$AE$17)</f>
        <v>0</v>
      </c>
      <c r="S37" s="79">
        <f>IF(' פנסיוני א3'!AG14=0,0,' פנסיוני א3'!AG14/' פנסיוני א3'!$AE$17)</f>
        <v>0</v>
      </c>
      <c r="T37" s="79">
        <f>IF(' פנסיוני א3'!AH14=0,0,' פנסיוני א3'!AH14/' פנסיוני א3'!$AE$17)</f>
        <v>1.6949152542372881E-2</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0.61538461538461542</v>
      </c>
      <c r="E40" s="237">
        <f t="shared" si="7"/>
        <v>0.15384615384615385</v>
      </c>
      <c r="F40" s="237">
        <f t="shared" si="7"/>
        <v>0.23076923076923078</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0.25423728813559321</v>
      </c>
      <c r="S40" s="237">
        <f t="shared" si="9"/>
        <v>0.3559322033898305</v>
      </c>
      <c r="T40" s="237">
        <f t="shared" si="9"/>
        <v>0.3559322033898305</v>
      </c>
      <c r="U40" s="237">
        <f t="shared" si="9"/>
        <v>3.3898305084745763E-2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בטוח ופנסיה לפועלים חקלאים ובלתי מקצועיים בישראל אג' שיתופית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500</v>
      </c>
      <c r="C11" s="443"/>
      <c r="D11" s="444"/>
      <c r="E11" s="234">
        <f>SUM(F11:K11)</f>
        <v>0.92307692307692313</v>
      </c>
      <c r="F11" s="235">
        <f>IF((' פנסיוני א3'!D12+' פנסיוני א3'!K12)=0,0,(' פנסיוני א3'!D12+' פנסיוני א3'!K12)/(' פנסיוני א3'!$C$17+' פנסיוני א3'!$J$17))</f>
        <v>0.53846153846153844</v>
      </c>
      <c r="G11" s="235">
        <f>IF((' פנסיוני א3'!E12+' פנסיוני א3'!L12)=0,0,(' פנסיוני א3'!E12+' פנסיוני א3'!L12)/(' פנסיוני א3'!$C$17+' פנסיוני א3'!$J$17))</f>
        <v>0.15384615384615385</v>
      </c>
      <c r="H11" s="235">
        <f>IF((' פנסיוני א3'!F12+' פנסיוני א3'!M12)=0,0,(' פנסיוני א3'!F12+' פנסיוני א3'!M12)/(' פנסיוני א3'!$C$17+' פנסיוני א3'!$J$17))</f>
        <v>0.23076923076923078</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0.98305084745762705</v>
      </c>
      <c r="T11" s="235">
        <f>IF(' פנסיוני א3'!AF12=0,0,' פנסיוני א3'!AF12/' פנסיוני א3'!$AE$17)</f>
        <v>0.25423728813559321</v>
      </c>
      <c r="U11" s="235">
        <f>IF(' פנסיוני א3'!AG12=0,0,' פנסיוני א3'!AG12/' פנסיוני א3'!$AE$17)</f>
        <v>0.3559322033898305</v>
      </c>
      <c r="V11" s="235">
        <f>IF(' פנסיוני א3'!AH12=0,0,' פנסיוני א3'!AH12/' פנסיוני א3'!$AE$17)</f>
        <v>0.33898305084745761</v>
      </c>
      <c r="W11" s="235">
        <f>IF(' פנסיוני א3'!AI12=0,0,' פנסיוני א3'!AI12/' פנסיוני א3'!$AE$17)</f>
        <v>3.3898305084745763E-2</v>
      </c>
      <c r="X11" s="235">
        <f>IF(' פנסיוני א3'!AJ12=0,0,' פנסיוני א3'!AJ12/' פנסיוני א3'!$AE$17)</f>
        <v>0</v>
      </c>
      <c r="Y11" s="239">
        <f>IF(' פנסיוני א3'!AK12=0,0,' פנסיוני א3'!AK12/' פנסיוני א3'!$AE$17)</f>
        <v>0</v>
      </c>
    </row>
    <row r="12" spans="1:28" x14ac:dyDescent="0.2">
      <c r="A12" s="300" t="s">
        <v>522</v>
      </c>
      <c r="B12" s="442" t="s">
        <v>499</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7.6923076923076927E-2</v>
      </c>
      <c r="F13" s="79">
        <f>IF((' פנסיוני א3'!D14+' פנסיוני א3'!K14)=0,0,(' פנסיוני א3'!D14+' פנסיוני א3'!K14)/(' פנסיוני א3'!$C$17+' פנסיוני א3'!$J$17))</f>
        <v>7.6923076923076927E-2</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1.6949152542372881E-2</v>
      </c>
      <c r="T13" s="79">
        <f>IF(' פנסיוני א3'!AF14=0,0,' פנסיוני א3'!AF14/' פנסיוני א3'!$AE$17)</f>
        <v>0</v>
      </c>
      <c r="U13" s="79">
        <f>IF(' פנסיוני א3'!AG14=0,0,' פנסיוני א3'!AG14/' פנסיוני א3'!$AE$17)</f>
        <v>0</v>
      </c>
      <c r="V13" s="79">
        <f>IF(' פנסיוני א3'!AH14=0,0,' פנסיוני א3'!AH14/' פנסיוני א3'!$AE$17)</f>
        <v>1.6949152542372881E-2</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0.61538461538461542</v>
      </c>
      <c r="G16" s="237">
        <f t="shared" si="0"/>
        <v>0.15384615384615385</v>
      </c>
      <c r="H16" s="237">
        <f t="shared" si="0"/>
        <v>0.23076923076923078</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0.25423728813559321</v>
      </c>
      <c r="U16" s="237">
        <f t="shared" si="2"/>
        <v>0.3559322033898305</v>
      </c>
      <c r="V16" s="237">
        <f t="shared" si="2"/>
        <v>0.3559322033898305</v>
      </c>
      <c r="W16" s="237">
        <f t="shared" si="2"/>
        <v>3.3898305084745763E-2</v>
      </c>
      <c r="X16" s="237">
        <f t="shared" si="2"/>
        <v>0</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446</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4" t="s">
        <v>86</v>
      </c>
      <c r="C26" s="465"/>
      <c r="D26" s="466"/>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בטוח ופנסיה לפועלים חקלאים ובלתי מקצועיים בישראל אג'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1848</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1848</v>
      </c>
      <c r="E14" s="150">
        <v>406</v>
      </c>
      <c r="F14" s="150">
        <v>591</v>
      </c>
      <c r="G14" s="150">
        <v>204</v>
      </c>
      <c r="H14" s="150">
        <v>157</v>
      </c>
      <c r="I14" s="151">
        <v>175</v>
      </c>
      <c r="J14" s="152">
        <v>315</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בטוח ופנסיה לפועלים חקלאים ובלתי מקצועיים בישראל אג'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442</v>
      </c>
      <c r="E11" s="144"/>
      <c r="F11" s="144"/>
      <c r="G11" s="144"/>
      <c r="H11" s="144"/>
      <c r="I11" s="144"/>
      <c r="J11" s="145"/>
      <c r="K11" s="143">
        <v>56</v>
      </c>
      <c r="L11" s="144"/>
      <c r="M11" s="144"/>
      <c r="N11" s="144"/>
      <c r="O11" s="144"/>
      <c r="P11" s="144"/>
      <c r="Q11" s="146"/>
    </row>
    <row r="12" spans="2:17" ht="25.5" x14ac:dyDescent="0.2">
      <c r="B12" s="60" t="s">
        <v>159</v>
      </c>
      <c r="C12" s="61" t="s">
        <v>160</v>
      </c>
      <c r="D12" s="143">
        <v>2780</v>
      </c>
      <c r="E12" s="144"/>
      <c r="F12" s="144"/>
      <c r="G12" s="144"/>
      <c r="H12" s="144"/>
      <c r="I12" s="147"/>
      <c r="J12" s="148"/>
      <c r="K12" s="143">
        <v>120</v>
      </c>
      <c r="L12" s="144"/>
      <c r="M12" s="144"/>
      <c r="N12" s="144"/>
      <c r="O12" s="144"/>
      <c r="P12" s="144"/>
      <c r="Q12" s="146"/>
    </row>
    <row r="13" spans="2:17" ht="25.5" x14ac:dyDescent="0.2">
      <c r="B13" s="62" t="s">
        <v>161</v>
      </c>
      <c r="C13" s="61" t="s">
        <v>162</v>
      </c>
      <c r="D13" s="143">
        <v>160</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3040</v>
      </c>
      <c r="E14" s="150">
        <v>874</v>
      </c>
      <c r="F14" s="150">
        <v>616</v>
      </c>
      <c r="G14" s="150">
        <v>297</v>
      </c>
      <c r="H14" s="150">
        <v>205</v>
      </c>
      <c r="I14" s="151">
        <v>269</v>
      </c>
      <c r="J14" s="152">
        <v>779</v>
      </c>
      <c r="K14" s="149">
        <f>SUM(L14:Q14)</f>
        <v>103</v>
      </c>
      <c r="L14" s="150">
        <v>59</v>
      </c>
      <c r="M14" s="150">
        <v>1</v>
      </c>
      <c r="N14" s="150"/>
      <c r="O14" s="150">
        <v>1</v>
      </c>
      <c r="P14" s="151">
        <v>1</v>
      </c>
      <c r="Q14" s="181">
        <v>41</v>
      </c>
    </row>
    <row r="15" spans="2:17" ht="38.25" x14ac:dyDescent="0.2">
      <c r="B15" s="62" t="s">
        <v>165</v>
      </c>
      <c r="C15" s="61" t="s">
        <v>166</v>
      </c>
      <c r="D15" s="149">
        <f>IF(D11+D12-D14-D13=0,"",D11+D12-D14-D13)</f>
        <v>22</v>
      </c>
      <c r="E15" s="144"/>
      <c r="F15" s="144"/>
      <c r="G15" s="144"/>
      <c r="H15" s="144"/>
      <c r="I15" s="147"/>
      <c r="J15" s="148"/>
      <c r="K15" s="149">
        <f>IF(K11+K12-K14-K13=0,"",K11+K12-K14-K13)</f>
        <v>73</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בטוח ופנסיה לפועלים חקלאים ובלתי מקצועיים בישראל אג' שיתופית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בטוח ופנסיה לפועלים חקלאים ובלתי מקצועיים בישראל אג'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בטוח ופנסיה לפועלים חקלאים ובלתי מקצועיים בישראל אג'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בטוח ופנסיה לפועלים חקלאים ובלתי מקצועיים בישראל אג'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בטוח ופנסיה לפועלים חקלאים ובלתי מקצועיים בישראל אג'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529</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527</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בטוח ופנסיה לפועלים חקלאים ובלתי מקצועיים בישראל אג'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בטוח ופנסיה לפועלים חקלאים ובלתי מקצועיים בישראל אג' שיתופית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0.92307692307692313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0.69230769230769229</v>
      </c>
      <c r="G11" s="79">
        <f>IF((' פנסיוני א3'!F12+' פנסיוני א3'!M12+' פנסיוני א3'!F13+' פנסיוני א3'!M13)=0,0,(' פנסיוני א3'!F12+' פנסיוני א3'!M12+' פנסיוני א3'!F13+' פנסיוני א3'!M13)/(' פנסיוני א3'!$C$17+' פנסיוני א3'!$J$17))</f>
        <v>0.23076923076923078</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0.98305084745762716</v>
      </c>
      <c r="R11" s="79">
        <f>IF(' פנסיוני א3'!AF12+' פנסיוני א3'!AG12+' פנסיוני א3'!AF13+' פנסיוני א3'!AG13=0,0,(' פנסיוני א3'!AF12+' פנסיוני א3'!AG12+' פנסיוני א3'!AF13+' פנסיוני א3'!AG13)/' פנסיוני א3'!$AE$17)</f>
        <v>0.61016949152542377</v>
      </c>
      <c r="S11" s="79">
        <f>IF(' פנסיוני א3'!AH12+' פנסיוני א3'!AH13=0,0,(' פנסיוני א3'!AH12+' פנסיוני א3'!AH13)/' פנסיוני א3'!$AE$17)</f>
        <v>0.33898305084745761</v>
      </c>
      <c r="T11" s="79">
        <f>IF(' פנסיוני א3'!AI12+' פנסיוני א3'!AI13=0,0,(' פנסיוני א3'!AI12+' פנסיוני א3'!AI13)/' פנסיוני א3'!$AE$17)</f>
        <v>3.3898305084745763E-2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7.6923076923076927E-2</v>
      </c>
      <c r="F12" s="79">
        <f>IF((' פנסיוני א3'!D14+' פנסיוני א3'!K14+' פנסיוני א3'!E14+' פנסיוני א3'!L14)=0,0,(' פנסיוני א3'!D14+' פנסיוני א3'!K14+' פנסיוני א3'!E14+' פנסיוני א3'!L14)/(' פנסיוני א3'!$C$17+' פנסיוני א3'!$J$17))</f>
        <v>7.6923076923076927E-2</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1.6949152542372881E-2</v>
      </c>
      <c r="R12" s="79">
        <f>IF(' פנסיוני א3'!AF14+' פנסיוני א3'!AG14=0,0,(' פנסיוני א3'!AF14+' פנסיוני א3'!AG14)/' פנסיוני א3'!$AE$17)</f>
        <v>0</v>
      </c>
      <c r="S12" s="79">
        <f>IF(' פנסיוני א3'!AH14=0,0,' פנסיוני א3'!AH14/' פנסיוני א3'!$AE$17)</f>
        <v>1.6949152542372881E-2</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0.76923076923076916</v>
      </c>
      <c r="G15" s="92">
        <f t="shared" si="0"/>
        <v>0.23076923076923078</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0.61016949152542377</v>
      </c>
      <c r="S15" s="92">
        <f t="shared" si="0"/>
        <v>0.3559322033898305</v>
      </c>
      <c r="T15" s="92">
        <f t="shared" si="0"/>
        <v>3.3898305084745763E-2</v>
      </c>
      <c r="U15" s="92">
        <f t="shared" si="0"/>
        <v>0</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446</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4" t="s">
        <v>86</v>
      </c>
      <c r="C25" s="465"/>
      <c r="D25" s="466"/>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9"/>
      <c r="C26" s="439"/>
      <c r="D26" s="439"/>
    </row>
    <row r="27" spans="1:22" x14ac:dyDescent="0.2">
      <c r="A27" s="301"/>
      <c r="B27" s="364" t="s">
        <v>527</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בטוח ופנסיה לפועלים חקלאים ובלתי מקצועיים בישראל אג'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0.2196969696969697</v>
      </c>
      <c r="E10" s="116">
        <f>IF('נספח א4 - G'!$D$14=0,"",'נספח א4 - G'!F14/'נספח א4 - G'!$D$14)</f>
        <v>0.31980519480519481</v>
      </c>
      <c r="F10" s="116">
        <f>IF('נספח א4 - G'!$D$14=0,"",'נספח א4 - G'!G14/'נספח א4 - G'!$D$14)</f>
        <v>0.11038961038961038</v>
      </c>
      <c r="G10" s="116">
        <f>IF('נספח א4 - G'!$D$14=0,"",'נספח א4 - G'!H14/'נספח א4 - G'!$D$14)</f>
        <v>8.4956709956709953E-2</v>
      </c>
      <c r="H10" s="116">
        <f>IF('נספח א4 - G'!$D$14=0,"",'נספח א4 - G'!I14/'נספח א4 - G'!$D$14)</f>
        <v>9.4696969696969696E-2</v>
      </c>
      <c r="I10" s="116">
        <f>IF('נספח א4 - G'!$D$14=0,"",'נספח א4 - G'!J14/'נספח א4 - G'!$D$14)</f>
        <v>0.17045454545454544</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בטוח ופנסיה לפועלים חקלאים ובלתי מקצועיים בישראל אג'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0.28749999999999998</v>
      </c>
      <c r="E10" s="116">
        <f>IF('נספח א4 - P'!$D$14=0,"",'נספח א4 - P'!F14/'נספח א4 - P'!$D$14)</f>
        <v>0.20263157894736841</v>
      </c>
      <c r="F10" s="116">
        <f>IF('נספח א4 - P'!$D$14=0,"",'נספח א4 - P'!G14/'נספח א4 - P'!$D$14)</f>
        <v>9.769736842105263E-2</v>
      </c>
      <c r="G10" s="116">
        <f>IF('נספח א4 - P'!$D$14=0,"",'נספח א4 - P'!H14/'נספח א4 - P'!$D$14)</f>
        <v>6.7434210526315791E-2</v>
      </c>
      <c r="H10" s="116">
        <f>IF('נספח א4 - P'!$D$14=0,"",'נספח א4 - P'!I14/'נספח א4 - P'!$D$14)</f>
        <v>8.8486842105263155E-2</v>
      </c>
      <c r="I10" s="116">
        <f>IF('נספח א4 - P'!$D$14=0,"",'נספח א4 - P'!J14/'נספח א4 - P'!$D$14)</f>
        <v>0.25624999999999998</v>
      </c>
      <c r="J10" s="116">
        <f>IF('נספח א4 - P'!$K$14=0,"",'נספח א4 - P'!K14/'נספח א4 - P'!$K$14)</f>
        <v>1</v>
      </c>
      <c r="K10" s="116">
        <f>IF('נספח א4 - P'!$K$14=0,"",'נספח א4 - P'!L14/'נספח א4 - P'!$K$14)</f>
        <v>0.57281553398058249</v>
      </c>
      <c r="L10" s="116">
        <f>IF('נספח א4 - P'!$K$14=0,"",'נספח א4 - P'!M14/'נספח א4 - P'!$K$14)</f>
        <v>9.7087378640776691E-3</v>
      </c>
      <c r="M10" s="116">
        <f>IF('נספח א4 - P'!$K$14=0,"",'נספח א4 - P'!N14/'נספח א4 - P'!$K$14)</f>
        <v>0</v>
      </c>
      <c r="N10" s="116">
        <f>IF('נספח א4 - P'!$K$14=0,"",'נספח א4 - P'!O14/'נספח א4 - P'!$K$14)</f>
        <v>9.7087378640776691E-3</v>
      </c>
      <c r="O10" s="116">
        <f>IF('נספח א4 - P'!$K$14=0,"",'נספח א4 - P'!P14/'נספח א4 - P'!$K$14)</f>
        <v>9.7087378640776691E-3</v>
      </c>
      <c r="P10" s="117">
        <f>IF('נספח א4 - P'!$K$14=0,"",'נספח א4 - P'!Q14/'נספח א4 - P'!$K$14)</f>
        <v>0.39805825242718446</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בטוח ופנסיה לפועלים חקלאים ובלתי מקצועיים בישראל אג'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בטוח ופנסיה לפועלים חקלאים ובלתי מקצועיים בישראל אג'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בטוח ופנסיה לפועלים חקלאים ובלתי מקצועיים בישראל אג'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בטוח ופנסיה לפועלים חקלאים ובלתי מקצועיים בישראל אג'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495</v>
      </c>
      <c r="E7" s="47" t="s">
        <v>496</v>
      </c>
      <c r="F7" s="11" t="s">
        <v>394</v>
      </c>
      <c r="G7" s="11" t="s">
        <v>395</v>
      </c>
      <c r="H7" s="11" t="s">
        <v>396</v>
      </c>
      <c r="I7" s="157" t="s">
        <v>41</v>
      </c>
      <c r="J7" s="522"/>
      <c r="K7" s="11" t="s">
        <v>495</v>
      </c>
      <c r="L7" s="47" t="s">
        <v>496</v>
      </c>
      <c r="M7" s="11" t="s">
        <v>394</v>
      </c>
      <c r="N7" s="11" t="s">
        <v>395</v>
      </c>
      <c r="O7" s="11" t="s">
        <v>396</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394</v>
      </c>
      <c r="I31" s="11" t="s">
        <v>395</v>
      </c>
      <c r="J31" s="11" t="s">
        <v>396</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525</v>
      </c>
      <c r="C38" s="545" t="s">
        <v>462</v>
      </c>
      <c r="D38" s="545"/>
      <c r="E38" s="546"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446</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495</v>
      </c>
      <c r="H95" s="326" t="s">
        <v>496</v>
      </c>
      <c r="I95" s="325" t="s">
        <v>394</v>
      </c>
      <c r="J95" s="325" t="s">
        <v>395</v>
      </c>
      <c r="K95" s="325" t="s">
        <v>396</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498</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9" t="s">
        <v>499</v>
      </c>
      <c r="C99" s="500" t="s">
        <v>458</v>
      </c>
      <c r="D99" s="500"/>
      <c r="E99" s="501"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521</v>
      </c>
      <c r="C103" s="500" t="s">
        <v>462</v>
      </c>
      <c r="D103" s="500"/>
      <c r="E103" s="501"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446</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schemas.microsoft.com/office/2006/documentManagement/types"/>
    <ds:schemaRef ds:uri="a46656d4-8850-49b3-aebd-68bd05f7f43d"/>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