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S47" i="5"/>
  <c r="T47" i="5"/>
  <c r="U47" i="5"/>
  <c r="V47" i="5"/>
  <c r="W47" i="5"/>
  <c r="S48" i="5"/>
  <c r="T48" i="5"/>
  <c r="U48" i="5"/>
  <c r="V48" i="5"/>
  <c r="W48"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F37" i="5"/>
  <c r="H37" i="5"/>
  <c r="I37" i="5"/>
  <c r="E38" i="5"/>
  <c r="F38" i="5"/>
  <c r="G38" i="5"/>
  <c r="H38" i="5"/>
  <c r="I38" i="5"/>
  <c r="E39" i="5"/>
  <c r="F39" i="5"/>
  <c r="G39" i="5"/>
  <c r="H39" i="5"/>
  <c r="I39" i="5"/>
  <c r="D36" i="5"/>
  <c r="D37"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R12" i="26"/>
  <c r="U11"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2" i="26"/>
  <c r="U23" i="26"/>
  <c r="T24" i="26"/>
  <c r="V23" i="26"/>
  <c r="T22"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T25" i="10"/>
  <c r="Y24" i="10"/>
  <c r="X24" i="10"/>
  <c r="W24" i="10"/>
  <c r="V24" i="10"/>
  <c r="U24" i="10"/>
  <c r="T24" i="10"/>
  <c r="Y23" i="10"/>
  <c r="X23" i="10"/>
  <c r="W23" i="10"/>
  <c r="V23" i="10"/>
  <c r="U23" i="10"/>
  <c r="T23"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2" i="10"/>
  <c r="H12" i="10"/>
  <c r="I12" i="10"/>
  <c r="J12" i="10"/>
  <c r="K12" i="10"/>
  <c r="H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R50" i="5" l="1"/>
  <c r="S24" i="10"/>
  <c r="S23" i="10"/>
  <c r="Q23" i="26"/>
  <c r="AE28" i="5"/>
  <c r="S11" i="26"/>
  <c r="R11" i="26"/>
  <c r="Q11" i="26" s="1"/>
  <c r="C17" i="5"/>
  <c r="C18" i="5" s="1"/>
  <c r="T15" i="26"/>
  <c r="W35" i="5"/>
  <c r="W40" i="5" s="1"/>
  <c r="Q14" i="26"/>
  <c r="R15" i="26"/>
  <c r="V35" i="5"/>
  <c r="V40" i="5" s="1"/>
  <c r="S15" i="10"/>
  <c r="Y16" i="10"/>
  <c r="T11" i="10"/>
  <c r="T16" i="10" s="1"/>
  <c r="V16" i="10"/>
  <c r="S13" i="10"/>
  <c r="U35" i="5"/>
  <c r="U40" i="5" s="1"/>
  <c r="X16" i="10"/>
  <c r="R35" i="5"/>
  <c r="R40" i="5" s="1"/>
  <c r="U16" i="10"/>
  <c r="S15" i="26"/>
  <c r="T35" i="5"/>
  <c r="T40" i="5" s="1"/>
  <c r="Q13" i="26"/>
  <c r="W16" i="10"/>
  <c r="U15" i="26"/>
  <c r="S14" i="10"/>
  <c r="S35" i="5"/>
  <c r="S40" i="5" s="1"/>
  <c r="Q12" i="26"/>
  <c r="S12" i="10"/>
  <c r="Q39" i="5"/>
  <c r="C36" i="5"/>
  <c r="E13" i="26"/>
  <c r="F11" i="26"/>
  <c r="G11" i="10"/>
  <c r="F11" i="10"/>
  <c r="F16" i="10" s="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E15" i="10"/>
  <c r="G13" i="10"/>
  <c r="E37" i="5"/>
  <c r="E14"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8" i="5"/>
  <c r="Q47"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7"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W46" i="5" l="1"/>
  <c r="W50" i="5" s="1"/>
  <c r="V21" i="26"/>
  <c r="V25" i="26" s="1"/>
  <c r="Y22" i="10"/>
  <c r="Y26" i="10" s="1"/>
  <c r="V46" i="5"/>
  <c r="V50" i="5" s="1"/>
  <c r="U21" i="26"/>
  <c r="U25" i="26" s="1"/>
  <c r="X22" i="10"/>
  <c r="X26" i="10" s="1"/>
  <c r="U46" i="5"/>
  <c r="U50" i="5" s="1"/>
  <c r="T21" i="26"/>
  <c r="T25" i="26" s="1"/>
  <c r="W22" i="10"/>
  <c r="W26" i="10" s="1"/>
  <c r="T46" i="5"/>
  <c r="V22" i="10"/>
  <c r="S21" i="26"/>
  <c r="R24" i="26"/>
  <c r="S49" i="5"/>
  <c r="U25" i="10"/>
  <c r="D35" i="5"/>
  <c r="D40" i="5" s="1"/>
  <c r="C37" i="5"/>
  <c r="G35" i="5"/>
  <c r="G40" i="5" s="1"/>
  <c r="E35" i="5"/>
  <c r="F35" i="5"/>
  <c r="F40" i="5" s="1"/>
  <c r="H12" i="26"/>
  <c r="E12" i="26" s="1"/>
  <c r="G37" i="5"/>
  <c r="I13" i="10"/>
  <c r="H11" i="26"/>
  <c r="H15" i="26" s="1"/>
  <c r="J11" i="26"/>
  <c r="J15" i="26" s="1"/>
  <c r="H11" i="10"/>
  <c r="H16" i="10" s="1"/>
  <c r="I11" i="26"/>
  <c r="I15" i="26" s="1"/>
  <c r="I11" i="10"/>
  <c r="I16" i="10" s="1"/>
  <c r="H35" i="5"/>
  <c r="H40" i="5" s="1"/>
  <c r="G11" i="26"/>
  <c r="G15" i="26" s="1"/>
  <c r="J11" i="10"/>
  <c r="J16" i="10" s="1"/>
  <c r="I35" i="5"/>
  <c r="I40" i="5" s="1"/>
  <c r="K11" i="10"/>
  <c r="K16" i="10" s="1"/>
  <c r="S11" i="10"/>
  <c r="S16" i="10"/>
  <c r="Q15" i="26"/>
  <c r="Q35" i="5"/>
  <c r="Q40" i="5" s="1"/>
  <c r="G16" i="10"/>
  <c r="E13" i="10"/>
  <c r="J41" i="3"/>
  <c r="X41" i="3"/>
  <c r="AI11" i="8"/>
  <c r="AE13" i="24"/>
  <c r="AE18" i="3"/>
  <c r="AE41" i="3"/>
  <c r="J18" i="3"/>
  <c r="L13" i="24"/>
  <c r="N14" i="8"/>
  <c r="E15" i="24"/>
  <c r="E40" i="5"/>
  <c r="F15"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V26" i="10" l="1"/>
  <c r="S22" i="10"/>
  <c r="T50" i="5"/>
  <c r="Q46" i="5"/>
  <c r="Q21" i="26"/>
  <c r="S25" i="26"/>
  <c r="U26" i="10"/>
  <c r="S25" i="10"/>
  <c r="Q49" i="5"/>
  <c r="S50" i="5"/>
  <c r="Q24" i="26"/>
  <c r="Q25" i="26" s="1"/>
  <c r="R25" i="26"/>
  <c r="E11" i="26"/>
  <c r="E15" i="26" s="1"/>
  <c r="C35" i="5"/>
  <c r="C40" i="5" s="1"/>
  <c r="E11" i="10"/>
  <c r="E16" i="10"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<sst xmlns="http://schemas.openxmlformats.org/spreadsheetml/2006/main" count="2486" uniqueCount="536">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</sst>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21</v>
      </c>
      <c r="E11" s="144"/>
      <c r="F11" s="144"/>
      <c r="G11" s="144"/>
      <c r="H11" s="144"/>
      <c r="I11" s="144"/>
      <c r="J11" s="145"/>
      <c r="K11" s="143">
        <v>253</v>
      </c>
      <c r="L11" s="144"/>
      <c r="M11" s="144"/>
      <c r="N11" s="144"/>
      <c r="O11" s="144"/>
      <c r="P11" s="144"/>
      <c r="Q11" s="146"/>
    </row>
    <row r="12" spans="2:17" ht="25.5" x14ac:dyDescent="0.2">
      <c r="B12" s="60" t="s">
        <v>159</v>
      </c>
      <c r="C12" s="61" t="s">
        <v>160</v>
      </c>
      <c r="D12" s="143">
        <v>476</v>
      </c>
      <c r="E12" s="144"/>
      <c r="F12" s="144"/>
      <c r="G12" s="144"/>
      <c r="H12" s="144"/>
      <c r="I12" s="147"/>
      <c r="J12" s="148"/>
      <c r="K12" s="143">
        <v>318</v>
      </c>
      <c r="L12" s="144"/>
      <c r="M12" s="144"/>
      <c r="N12" s="144"/>
      <c r="O12" s="144"/>
      <c r="P12" s="144"/>
      <c r="Q12" s="146"/>
    </row>
    <row r="13" spans="2:17" ht="25.5" x14ac:dyDescent="0.2">
      <c r="B13" s="62" t="s">
        <v>161</v>
      </c>
      <c r="C13" s="61" t="s">
        <v>162</v>
      </c>
      <c r="D13" s="143">
        <v>28</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443</v>
      </c>
      <c r="E14" s="150">
        <v>173</v>
      </c>
      <c r="F14" s="150">
        <v>40</v>
      </c>
      <c r="G14" s="150">
        <v>34</v>
      </c>
      <c r="H14" s="150">
        <v>25</v>
      </c>
      <c r="I14" s="151">
        <v>38</v>
      </c>
      <c r="J14" s="152">
        <v>133</v>
      </c>
      <c r="K14" s="149">
        <f>SUM(L14:Q14)</f>
        <v>317</v>
      </c>
      <c r="L14" s="150">
        <v>283</v>
      </c>
      <c r="M14" s="150">
        <v>27</v>
      </c>
      <c r="N14" s="150"/>
      <c r="O14" s="150">
        <v>0</v>
      </c>
      <c r="P14" s="151">
        <v>4</v>
      </c>
      <c r="Q14" s="181">
        <v>3</v>
      </c>
    </row>
    <row r="15" spans="2:17" ht="38.25" x14ac:dyDescent="0.2">
      <c r="B15" s="62" t="s">
        <v>165</v>
      </c>
      <c r="C15" s="61" t="s">
        <v>166</v>
      </c>
      <c r="D15" s="149">
        <f>IF(D11+D12-D14-D13=0,"",D11+D12-D14-D13)</f>
        <v>26</v>
      </c>
      <c r="E15" s="144"/>
      <c r="F15" s="144"/>
      <c r="G15" s="144"/>
      <c r="H15" s="144"/>
      <c r="I15" s="147"/>
      <c r="J15" s="148"/>
      <c r="K15" s="149">
        <f>IF(K11+K12-K14-K13=0,"",K11+K12-K14-K13)</f>
        <v>254</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נתיב קרן הפנסיה של פועלי ועובדי מפעלי משק ההסתדרות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0.98795180722891573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0.5662650602409639</v>
      </c>
      <c r="G11" s="79">
        <f>IF((' פנסיוני א3'!F12+' פנסיוני א3'!M12+' פנסיוני א3'!F13+' פנסיוני א3'!M13)=0,0,(' פנסיוני א3'!F12+' פנסיוני א3'!M12+' פנסיוני א3'!F13+' פנסיוני א3'!M13)/(' פנסיוני א3'!$C$17+' פנסיוני א3'!$J$17))</f>
        <v>0.2289156626506024</v>
      </c>
      <c r="H11" s="79">
        <f>IF((' פנסיוני א3'!G12+' פנסיוני א3'!N12+' פנסיוני א3'!G13+' פנסיוני א3'!N13)=0,0,(' פנסיוני א3'!G12+' פנסיוני א3'!N12+' פנסיוני א3'!G13+' פנסיוני א3'!N13)/(' פנסיוני א3'!$C$17+' פנסיוני א3'!$J$17))</f>
        <v>0.14457831325301204</v>
      </c>
      <c r="I11" s="79">
        <f>IF((' פנסיוני א3'!H12+' פנסיוני א3'!O12+' פנסיוני א3'!H13+' פנסיוני א3'!O13)=0,0,(' פנסיוני א3'!H12+' פנסיוני א3'!O12+' פנסיוני א3'!H13+' פנסיוני א3'!O13)/(' פנסיוני א3'!$C$17+' פנסיוני א3'!$J$17))</f>
        <v>3.614457831325301E-2</v>
      </c>
      <c r="J11" s="79">
        <f>IF((' פנסיוני א3'!I12+' פנסיוני א3'!P12+' פנסיוני א3'!I13+' פנסיוני א3'!P13)=0,0,(' פנסיוני א3'!I12+' פנסיוני א3'!P12+' פנסיוני א3'!I13+' פנסיוני א3'!P13)/(' פנסיוני א3'!$C$17+' פנסיוני א3'!$J$17))</f>
        <v>1.2048192771084338E-2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0.58571428571428574</v>
      </c>
      <c r="S11" s="79">
        <f>IF(' פנסיוני א3'!AH12+' פנסיוני א3'!AH13=0,0,(' פנסיוני א3'!AH12+' פנסיוני א3'!AH13)/' פנסיוני א3'!$AE$17)</f>
        <v>0.34761904761904761</v>
      </c>
      <c r="T11" s="79">
        <f>IF(' פנסיוני א3'!AI12+' פנסיוני א3'!AI13=0,0,(' פנסיוני א3'!AI12+' פנסיוני א3'!AI13)/' פנסיוני א3'!$AE$17)</f>
        <v>5.7142857142857141E-2</v>
      </c>
      <c r="U11" s="79">
        <f>IF(' פנסיוני א3'!AJ12+' פנסיוני א3'!AJ13=0,0,(' פנסיוני א3'!AJ12+' פנסיוני א3'!AJ13)/' פנסיוני א3'!$AE$17)</f>
        <v>4.7619047619047623E-3</v>
      </c>
      <c r="V11" s="81">
        <f>IF(' פנסיוני א3'!AK12+' פנסיוני א3'!AK13=0,0,(' פנסיוני א3'!AK12+' פנסיוני א3'!AK13)/' פנסיוני א3'!$AE$17)</f>
        <v>4.7619047619047623E-3</v>
      </c>
    </row>
    <row r="12" spans="1:25" x14ac:dyDescent="0.2">
      <c r="A12" s="202">
        <v>4</v>
      </c>
      <c r="B12" s="203" t="s">
        <v>77</v>
      </c>
      <c r="C12" s="272"/>
      <c r="D12" s="273"/>
      <c r="E12" s="78">
        <f>SUM(F12:J12)</f>
        <v>1.2048192771084338E-2</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1.2048192771084338E-2</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1</v>
      </c>
      <c r="F15" s="92">
        <f t="shared" si="0"/>
        <v>0.5662650602409639</v>
      </c>
      <c r="G15" s="92">
        <f t="shared" si="0"/>
        <v>0.2289156626506024</v>
      </c>
      <c r="H15" s="92">
        <f t="shared" si="0"/>
        <v>0.15662650602409639</v>
      </c>
      <c r="I15" s="92">
        <f t="shared" si="0"/>
        <v>3.614457831325301E-2</v>
      </c>
      <c r="J15" s="83">
        <f t="shared" si="0"/>
        <v>1.2048192771084338E-2</v>
      </c>
      <c r="K15" s="78">
        <f t="shared" si="0"/>
        <v>0</v>
      </c>
      <c r="L15" s="92">
        <f t="shared" si="0"/>
        <v>0</v>
      </c>
      <c r="M15" s="92">
        <f t="shared" si="0"/>
        <v>0</v>
      </c>
      <c r="N15" s="92">
        <f t="shared" si="0"/>
        <v>0</v>
      </c>
      <c r="O15" s="92">
        <f t="shared" si="0"/>
        <v>0</v>
      </c>
      <c r="P15" s="83">
        <f t="shared" si="0"/>
        <v>0</v>
      </c>
      <c r="Q15" s="78">
        <f t="shared" si="0"/>
        <v>1</v>
      </c>
      <c r="R15" s="92">
        <f t="shared" si="0"/>
        <v>0.58571428571428574</v>
      </c>
      <c r="S15" s="92">
        <f t="shared" si="0"/>
        <v>0.34761904761904761</v>
      </c>
      <c r="T15" s="92">
        <f t="shared" si="0"/>
        <v>5.7142857142857141E-2</v>
      </c>
      <c r="U15" s="92">
        <f t="shared" si="0"/>
        <v>4.7619047619047623E-3</v>
      </c>
      <c r="V15" s="83">
        <f t="shared" si="0"/>
        <v>4.7619047619047623E-3</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0.875</v>
      </c>
      <c r="R21" s="79">
        <f>IF(' פנסיוני א3'!AF24+' פנסיוני א3'!AG24=0,0,(' פנסיוני א3'!AF24+' פנסיוני א3'!AG24)/' פנסיוני א3'!$AE$28)</f>
        <v>0</v>
      </c>
      <c r="S21" s="79">
        <f>IF(' פנסיוני א3'!AH24=0,0,' פנסיוני א3'!AH24/' פנסיוני א3'!$AE$28)</f>
        <v>0.25</v>
      </c>
      <c r="T21" s="79">
        <f>IF(' פנסיוני א3'!AI24=0,0,' פנסיוני א3'!AI24/' פנסיוני א3'!$AE$28)</f>
        <v>0.375</v>
      </c>
      <c r="U21" s="79">
        <f>IF(' פנסיוני א3'!AJ24=0,0,' פנסיוני א3'!AJ24/' פנסיוני א3'!$AE$28)</f>
        <v>0.125</v>
      </c>
      <c r="V21" s="81">
        <f>IF(' פנסיוני א3'!AK24=0,0,' פנסיוני א3'!AK24/' פנסיוני א3'!$AE$28)</f>
        <v>0.125</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0.125</v>
      </c>
      <c r="R24" s="79">
        <f>IF(' פנסיוני א3'!AF27+' פנסיוני א3'!AG27=0,0,(' פנסיוני א3'!AF27+' פנסיוני א3'!AG27)/' פנסיוני א3'!$AE$28)</f>
        <v>0.125</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0.125</v>
      </c>
      <c r="S25" s="103">
        <f t="shared" si="2"/>
        <v>0.25</v>
      </c>
      <c r="T25" s="103">
        <f t="shared" si="2"/>
        <v>0.375</v>
      </c>
      <c r="U25" s="103">
        <f t="shared" si="2"/>
        <v>0.125</v>
      </c>
      <c r="V25" s="102">
        <f t="shared" si="2"/>
        <v>0.125</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227</v>
      </c>
      <c r="C13" s="218">
        <f>VLOOKUP(B13,'רשימת גופים'!A3:B230,2,0)</f>
        <v>520022351</v>
      </c>
      <c r="D13" s="155" t="s">
        <v>534</v>
      </c>
      <c r="E13" s="156" t="s">
        <v>535</v>
      </c>
      <c r="F13" s="156">
        <v>2020</v>
      </c>
      <c r="G13" s="209" t="s">
        <v>447</v>
      </c>
      <c r="H13" s="383" t="str">
        <f>CONCATENATE("netunim","_",C13,"_",F13,".xlsx")</f>
        <v>netunim_520022351_2020.xlsx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0.3905191873589165</v>
      </c>
      <c r="E10" s="116">
        <f>IF('נספח א4 - P'!$D$14=0,"",'נספח א4 - P'!F14/'נספח א4 - P'!$D$14)</f>
        <v>9.0293453724604969E-2</v>
      </c>
      <c r="F10" s="116">
        <f>IF('נספח א4 - P'!$D$14=0,"",'נספח א4 - P'!G14/'נספח א4 - P'!$D$14)</f>
        <v>7.6749435665914217E-2</v>
      </c>
      <c r="G10" s="116">
        <f>IF('נספח א4 - P'!$D$14=0,"",'נספח א4 - P'!H14/'נספח א4 - P'!$D$14)</f>
        <v>5.6433408577878104E-2</v>
      </c>
      <c r="H10" s="116">
        <f>IF('נספח א4 - P'!$D$14=0,"",'נספח א4 - P'!I14/'נספח א4 - P'!$D$14)</f>
        <v>8.5778781038374718E-2</v>
      </c>
      <c r="I10" s="116">
        <f>IF('נספח א4 - P'!$D$14=0,"",'נספח א4 - P'!J14/'נספח א4 - P'!$D$14)</f>
        <v>0.30022573363431149</v>
      </c>
      <c r="J10" s="116">
        <f>IF('נספח א4 - P'!$K$14=0,"",'נספח א4 - P'!K14/'נספח א4 - P'!$K$14)</f>
        <v>1</v>
      </c>
      <c r="K10" s="116">
        <f>IF('נספח א4 - P'!$K$14=0,"",'נספח א4 - P'!L14/'נספח א4 - P'!$K$14)</f>
        <v>0.89274447949526814</v>
      </c>
      <c r="L10" s="116">
        <f>IF('נספח א4 - P'!$K$14=0,"",'נספח א4 - P'!M14/'נספח א4 - P'!$K$14)</f>
        <v>8.5173501577287064E-2</v>
      </c>
      <c r="M10" s="116">
        <f>IF('נספח א4 - P'!$K$14=0,"",'נספח א4 - P'!N14/'נספח א4 - P'!$K$14)</f>
        <v>0</v>
      </c>
      <c r="N10" s="116">
        <f>IF('נספח א4 - P'!$K$14=0,"",'נספח א4 - P'!O14/'נספח א4 - P'!$K$14)</f>
        <v>0</v>
      </c>
      <c r="O10" s="116">
        <f>IF('נספח א4 - P'!$K$14=0,"",'נספח א4 - P'!P14/'נספח א4 - P'!$K$14)</f>
        <v>1.2618296529968454E-2</v>
      </c>
      <c r="P10" s="117">
        <f>IF('נספח א4 - P'!$K$14=0,"",'נספח א4 - P'!Q14/'נספח א4 - P'!$K$14)</f>
        <v>9.4637223974763408E-3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נתיב קרן הפנסיה של פועלי ועובדי מפעלי משק ההסתדרות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נתיב קרן הפנסיה של פועלי ועובדי מפעלי משק ההסתדרות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K25" sqref="AK2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נתיב קרן הפנסיה של פועלי ועובדי מפעלי משק ההסתדרות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47</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61</v>
      </c>
      <c r="AF10" s="179"/>
      <c r="AG10" s="177"/>
      <c r="AH10" s="177"/>
      <c r="AI10" s="177"/>
      <c r="AJ10" s="177"/>
      <c r="AK10" s="178"/>
    </row>
    <row r="11" spans="1:39" ht="12.75" customHeight="1" x14ac:dyDescent="0.2">
      <c r="A11" s="166">
        <f>A10+1</f>
        <v>2</v>
      </c>
      <c r="B11" s="167" t="s">
        <v>75</v>
      </c>
      <c r="C11" s="318">
        <v>86</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150</v>
      </c>
      <c r="AF11" s="179"/>
      <c r="AG11" s="177"/>
      <c r="AH11" s="177"/>
      <c r="AI11" s="177"/>
      <c r="AJ11" s="177"/>
      <c r="AK11" s="178"/>
    </row>
    <row r="12" spans="1:39" x14ac:dyDescent="0.2">
      <c r="A12" s="166">
        <v>3</v>
      </c>
      <c r="B12" s="167" t="s">
        <v>498</v>
      </c>
      <c r="C12" s="250">
        <f>SUM(D12:I12)</f>
        <v>82</v>
      </c>
      <c r="D12" s="314">
        <v>38</v>
      </c>
      <c r="E12" s="308">
        <v>9</v>
      </c>
      <c r="F12" s="314">
        <v>19</v>
      </c>
      <c r="G12" s="314">
        <v>12</v>
      </c>
      <c r="H12" s="314">
        <v>3</v>
      </c>
      <c r="I12" s="315">
        <v>1</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210</v>
      </c>
      <c r="AF12" s="314">
        <v>34</v>
      </c>
      <c r="AG12" s="308">
        <v>89</v>
      </c>
      <c r="AH12" s="314">
        <v>73</v>
      </c>
      <c r="AI12" s="314">
        <v>12</v>
      </c>
      <c r="AJ12" s="314">
        <v>1</v>
      </c>
      <c r="AK12" s="315">
        <v>1</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v>
      </c>
      <c r="D14" s="314"/>
      <c r="E14" s="308"/>
      <c r="F14" s="314"/>
      <c r="G14" s="314">
        <v>1</v>
      </c>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83</v>
      </c>
      <c r="D17" s="233">
        <f t="shared" si="0"/>
        <v>38</v>
      </c>
      <c r="E17" s="32">
        <f t="shared" si="0"/>
        <v>9</v>
      </c>
      <c r="F17" s="29">
        <f t="shared" si="0"/>
        <v>19</v>
      </c>
      <c r="G17" s="29">
        <f t="shared" si="0"/>
        <v>13</v>
      </c>
      <c r="H17" s="29">
        <f t="shared" si="0"/>
        <v>3</v>
      </c>
      <c r="I17" s="33">
        <f t="shared" si="0"/>
        <v>1</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210</v>
      </c>
      <c r="AF17" s="31">
        <f t="shared" si="0"/>
        <v>34</v>
      </c>
      <c r="AG17" s="32">
        <f t="shared" si="0"/>
        <v>89</v>
      </c>
      <c r="AH17" s="29">
        <f t="shared" ref="AH17" si="1">SUM(AH12:AH16)</f>
        <v>73</v>
      </c>
      <c r="AI17" s="29">
        <f>SUM(AI12:AI16)</f>
        <v>12</v>
      </c>
      <c r="AJ17" s="29">
        <f>SUM(AJ12:AJ16)</f>
        <v>1</v>
      </c>
      <c r="AK17" s="180">
        <f>SUM(AK12:AK16)</f>
        <v>1</v>
      </c>
    </row>
    <row r="18" spans="1:37" x14ac:dyDescent="0.2">
      <c r="A18" s="166">
        <v>8</v>
      </c>
      <c r="B18" s="167" t="s">
        <v>524</v>
      </c>
      <c r="C18" s="250">
        <f>IF(C10+C11-C17=0,0,C10+C11-C17)</f>
        <v>50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7</v>
      </c>
      <c r="AF24" s="314"/>
      <c r="AG24" s="308"/>
      <c r="AH24" s="314">
        <v>2</v>
      </c>
      <c r="AI24" s="314">
        <v>3</v>
      </c>
      <c r="AJ24" s="314">
        <v>1</v>
      </c>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1</v>
      </c>
      <c r="AF27" s="314"/>
      <c r="AG27" s="308">
        <v>1</v>
      </c>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8</v>
      </c>
      <c r="AF28" s="35">
        <f t="shared" si="5"/>
        <v>0</v>
      </c>
      <c r="AG28" s="36">
        <f t="shared" ref="AG28" si="6">SUM(AG24:AG27)</f>
        <v>1</v>
      </c>
      <c r="AH28" s="36">
        <f>SUM(AH24:AH27)</f>
        <v>2</v>
      </c>
      <c r="AI28" s="36">
        <f>SUM(AI24:AI27)</f>
        <v>3</v>
      </c>
      <c r="AJ28" s="36">
        <f>SUM(AJ24:AJ27)</f>
        <v>1</v>
      </c>
      <c r="AK28" s="38">
        <f>SUM(AK24:AK27)</f>
        <v>1</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0.98795180722891562</v>
      </c>
      <c r="D35" s="235">
        <f>IF((' פנסיוני א3'!D12+' פנסיוני א3'!K12)=0,0,(' פנסיוני א3'!D12+' פנסיוני א3'!K12)/(' פנסיוני א3'!$C$17+' פנסיוני א3'!$J$17))</f>
        <v>0.45783132530120479</v>
      </c>
      <c r="E35" s="235">
        <f>IF((' פנסיוני א3'!E12+' פנסיוני א3'!L12)=0,0,(' פנסיוני א3'!E12+' פנסיוני א3'!L12)/(' פנסיוני א3'!$C$17+' פנסיוני א3'!$J$17))</f>
        <v>0.10843373493975904</v>
      </c>
      <c r="F35" s="235">
        <f>IF((' פנסיוני א3'!F12+' פנסיוני א3'!M12)=0,0,(' פנסיוני א3'!F12+' פנסיוני א3'!M12)/(' פנסיוני א3'!$C$17+' פנסיוני א3'!$J$17))</f>
        <v>0.2289156626506024</v>
      </c>
      <c r="G35" s="235">
        <f>IF((' פנסיוני א3'!G12+' פנסיוני א3'!N12)=0,0,(' פנסיוני א3'!G12+' פנסיוני א3'!N12)/(' פנסיוני א3'!$C$17+' פנסיוני א3'!$J$17))</f>
        <v>0.14457831325301204</v>
      </c>
      <c r="H35" s="235">
        <f>IF((' פנסיוני א3'!H12+' פנסיוני א3'!O12)=0,0,(' פנסיוני א3'!H12+' פנסיוני א3'!O12)/(' פנסיוני א3'!$C$17+' פנסיוני א3'!$J$17))</f>
        <v>3.614457831325301E-2</v>
      </c>
      <c r="I35" s="235">
        <f>IF((' פנסיוני א3'!I12+' פנסיוני א3'!P12)=0,0,(' פנסיוני א3'!I12+' פנסיוני א3'!P12)/(' פנסיוני א3'!$C$17+' פנסיוני א3'!$J$17))</f>
        <v>1.2048192771084338E-2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0.16190476190476191</v>
      </c>
      <c r="S35" s="235">
        <f>IF(' פנסיוני א3'!AG12=0,0,' פנסיוני א3'!AG12/' פנסיוני א3'!$AE$17)</f>
        <v>0.4238095238095238</v>
      </c>
      <c r="T35" s="235">
        <f>IF(' פנסיוני א3'!AH12=0,0,' פנסיוני א3'!AH12/' פנסיוני א3'!$AE$17)</f>
        <v>0.34761904761904761</v>
      </c>
      <c r="U35" s="235">
        <f>IF(' פנסיוני א3'!AI12=0,0,' פנסיוני א3'!AI12/' פנסיוני א3'!$AE$17)</f>
        <v>5.7142857142857141E-2</v>
      </c>
      <c r="V35" s="235">
        <f>IF(' פנסיוני א3'!AJ12=0,0,' פנסיוני א3'!AJ12/' פנסיוני א3'!$AE$17)</f>
        <v>4.7619047619047623E-3</v>
      </c>
      <c r="W35" s="239">
        <f>IF(' פנסיוני א3'!AK12=0,0,' פנסיוני א3'!AK12/' פנסיוני א3'!$AE$17)</f>
        <v>4.7619047619047623E-3</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1.2048192771084338E-2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1.2048192771084338E-2</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0.45783132530120479</v>
      </c>
      <c r="E40" s="237">
        <f t="shared" si="7"/>
        <v>0.10843373493975904</v>
      </c>
      <c r="F40" s="237">
        <f t="shared" si="7"/>
        <v>0.2289156626506024</v>
      </c>
      <c r="G40" s="237">
        <f t="shared" si="7"/>
        <v>0.15662650602409639</v>
      </c>
      <c r="H40" s="237">
        <f t="shared" si="7"/>
        <v>3.614457831325301E-2</v>
      </c>
      <c r="I40" s="238">
        <f t="shared" si="7"/>
        <v>1.2048192771084338E-2</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0.16190476190476191</v>
      </c>
      <c r="S40" s="237">
        <f t="shared" si="9"/>
        <v>0.4238095238095238</v>
      </c>
      <c r="T40" s="237">
        <f t="shared" si="9"/>
        <v>0.34761904761904761</v>
      </c>
      <c r="U40" s="237">
        <f t="shared" si="9"/>
        <v>5.7142857142857141E-2</v>
      </c>
      <c r="V40" s="237">
        <f t="shared" si="9"/>
        <v>4.7619047619047623E-3</v>
      </c>
      <c r="W40" s="238">
        <f t="shared" si="9"/>
        <v>4.7619047619047623E-3</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0.875</v>
      </c>
      <c r="R46" s="79">
        <f>IF(' פנסיוני א3'!AF24=0,0,' פנסיוני א3'!AF24/' פנסיוני א3'!$AE$28)</f>
        <v>0</v>
      </c>
      <c r="S46" s="79">
        <f>IF(' פנסיוני א3'!AG24=0,0,' פנסיוני א3'!AG24/' פנסיוני א3'!$AE$28)</f>
        <v>0</v>
      </c>
      <c r="T46" s="79">
        <f>IF(' פנסיוני א3'!AH24=0,0,' פנסיוני א3'!AH24/' פנסיוני א3'!$AE$28)</f>
        <v>0.25</v>
      </c>
      <c r="U46" s="79">
        <f>IF(' פנסיוני א3'!AI24=0,0,' פנסיוני א3'!AI24/' פנסיוני א3'!$AE$28)</f>
        <v>0.375</v>
      </c>
      <c r="V46" s="79">
        <f>IF(' פנסיוני א3'!AJ24=0,0,' פנסיוני א3'!AJ24/' פנסיוני א3'!$AE$28)</f>
        <v>0.125</v>
      </c>
      <c r="W46" s="81">
        <f>IF(' פנסיוני א3'!AK24=0,0,' פנסיוני א3'!AK24/' פנסיוני א3'!$AE$28)</f>
        <v>0.125</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0.125</v>
      </c>
      <c r="R49" s="79">
        <f>IF(' פנסיוני א3'!AF27=0,0,' פנסיוני א3'!AF27/' פנסיוני א3'!$AE$28)</f>
        <v>0</v>
      </c>
      <c r="S49" s="79">
        <f>IF(' פנסיוני א3'!AG27=0,0,' פנסיוני א3'!AG27/' פנסיוני א3'!$AE$28)</f>
        <v>0.125</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0.125</v>
      </c>
      <c r="T50" s="103">
        <f t="shared" si="11"/>
        <v>0.25</v>
      </c>
      <c r="U50" s="103">
        <f t="shared" si="11"/>
        <v>0.375</v>
      </c>
      <c r="V50" s="103">
        <f t="shared" si="11"/>
        <v>0.125</v>
      </c>
      <c r="W50" s="102">
        <f t="shared" si="11"/>
        <v>0.125</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נתיב קרן הפנסיה של פועלי ועובדי מפעלי משק ההסתדרות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0.98795180722891562</v>
      </c>
      <c r="F11" s="235">
        <f>IF((' פנסיוני א3'!D12+' פנסיוני א3'!K12)=0,0,(' פנסיוני א3'!D12+' פנסיוני א3'!K12)/(' פנסיוני א3'!$C$17+' פנסיוני א3'!$J$17))</f>
        <v>0.45783132530120479</v>
      </c>
      <c r="G11" s="235">
        <f>IF((' פנסיוני א3'!E12+' פנסיוני א3'!L12)=0,0,(' פנסיוני א3'!E12+' פנסיוני א3'!L12)/(' פנסיוני א3'!$C$17+' פנסיוני א3'!$J$17))</f>
        <v>0.10843373493975904</v>
      </c>
      <c r="H11" s="235">
        <f>IF((' פנסיוני א3'!F12+' פנסיוני א3'!M12)=0,0,(' פנסיוני א3'!F12+' פנסיוני א3'!M12)/(' פנסיוני א3'!$C$17+' פנסיוני א3'!$J$17))</f>
        <v>0.2289156626506024</v>
      </c>
      <c r="I11" s="235">
        <f>IF((' פנסיוני א3'!G12+' פנסיוני א3'!N12)=0,0,(' פנסיוני א3'!G12+' פנסיוני א3'!N12)/(' פנסיוני א3'!$C$17+' פנסיוני א3'!$J$17))</f>
        <v>0.14457831325301204</v>
      </c>
      <c r="J11" s="235">
        <f>IF((' פנסיוני א3'!H12+' פנסיוני א3'!O12)=0,0,(' פנסיוני א3'!H12+' פנסיוני א3'!O12)/(' פנסיוני א3'!$C$17+' פנסיוני א3'!$J$17))</f>
        <v>3.614457831325301E-2</v>
      </c>
      <c r="K11" s="235">
        <f>IF((' פנסיוני א3'!I12+' פנסיוני א3'!P12)=0,0,(' פנסיוני א3'!I12+' פנסיוני א3'!P12)/(' פנסיוני א3'!$C$17+' פנסיוני א3'!$J$17))</f>
        <v>1.2048192771084338E-2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0.16190476190476191</v>
      </c>
      <c r="U11" s="235">
        <f>IF(' פנסיוני א3'!AG12=0,0,' פנסיוני א3'!AG12/' פנסיוני א3'!$AE$17)</f>
        <v>0.4238095238095238</v>
      </c>
      <c r="V11" s="235">
        <f>IF(' פנסיוני א3'!AH12=0,0,' פנסיוני א3'!AH12/' פנסיוני א3'!$AE$17)</f>
        <v>0.34761904761904761</v>
      </c>
      <c r="W11" s="235">
        <f>IF(' פנסיוני א3'!AI12=0,0,' פנסיוני א3'!AI12/' פנסיוני א3'!$AE$17)</f>
        <v>5.7142857142857141E-2</v>
      </c>
      <c r="X11" s="235">
        <f>IF(' פנסיוני א3'!AJ12=0,0,' פנסיוני א3'!AJ12/' פנסיוני א3'!$AE$17)</f>
        <v>4.7619047619047623E-3</v>
      </c>
      <c r="Y11" s="239">
        <f>IF(' פנסיוני א3'!AK12=0,0,' פנסיוני א3'!AK12/' פנסיוני א3'!$AE$17)</f>
        <v>4.7619047619047623E-3</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1.2048192771084338E-2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1.2048192771084338E-2</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0.45783132530120479</v>
      </c>
      <c r="G16" s="237">
        <f t="shared" si="0"/>
        <v>0.10843373493975904</v>
      </c>
      <c r="H16" s="237">
        <f t="shared" si="0"/>
        <v>0.2289156626506024</v>
      </c>
      <c r="I16" s="237">
        <f t="shared" si="0"/>
        <v>0.15662650602409639</v>
      </c>
      <c r="J16" s="237">
        <f t="shared" si="0"/>
        <v>3.614457831325301E-2</v>
      </c>
      <c r="K16" s="238">
        <f t="shared" si="0"/>
        <v>1.2048192771084338E-2</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0.16190476190476191</v>
      </c>
      <c r="U16" s="237">
        <f t="shared" si="2"/>
        <v>0.4238095238095238</v>
      </c>
      <c r="V16" s="237">
        <f t="shared" si="2"/>
        <v>0.34761904761904761</v>
      </c>
      <c r="W16" s="237">
        <f t="shared" si="2"/>
        <v>5.7142857142857141E-2</v>
      </c>
      <c r="X16" s="237">
        <f t="shared" si="2"/>
        <v>4.7619047619047623E-3</v>
      </c>
      <c r="Y16" s="238">
        <f t="shared" si="2"/>
        <v>4.7619047619047623E-3</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0.875</v>
      </c>
      <c r="T22" s="79">
        <f>IF(' פנסיוני א3'!AF24=0,0,' פנסיוני א3'!AF24/' פנסיוני א3'!$AE$28)</f>
        <v>0</v>
      </c>
      <c r="U22" s="79">
        <f>IF(' פנסיוני א3'!AG24=0,0,' פנסיוני א3'!AG24/' פנסיוני א3'!$AE$28)</f>
        <v>0</v>
      </c>
      <c r="V22" s="79">
        <f>IF(' פנסיוני א3'!AH24=0,0,' פנסיוני א3'!AH24/' פנסיוני א3'!$AE$28)</f>
        <v>0.25</v>
      </c>
      <c r="W22" s="79">
        <f>IF(' פנסיוני א3'!AI24=0,0,' פנסיוני א3'!AI24/' פנסיוני א3'!$AE$28)</f>
        <v>0.375</v>
      </c>
      <c r="X22" s="79">
        <f>IF(' פנסיוני א3'!AJ24=0,0,' פנסיוני א3'!AJ24/' פנסיוני א3'!$AE$28)</f>
        <v>0.125</v>
      </c>
      <c r="Y22" s="81">
        <f>IF(' פנסיוני א3'!AK24=0,0,' פנסיוני א3'!AK24/' פנסיוני א3'!$AE$28)</f>
        <v>0.125</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0.125</v>
      </c>
      <c r="T25" s="79">
        <f>IF(' פנסיוני א3'!AF27=0,0,' פנסיוני א3'!AF27/' פנסיוני א3'!$AE$28)</f>
        <v>0</v>
      </c>
      <c r="U25" s="79">
        <f>IF(' פנסיוני א3'!AG27=0,0,' פנסיוני א3'!AG27/' פנסיוני א3'!$AE$28)</f>
        <v>0.125</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0.125</v>
      </c>
      <c r="V26" s="103">
        <f t="shared" si="5"/>
        <v>0.25</v>
      </c>
      <c r="W26" s="103">
        <f t="shared" si="5"/>
        <v>0.375</v>
      </c>
      <c r="X26" s="103">
        <f t="shared" si="5"/>
        <v>0.125</v>
      </c>
      <c r="Y26" s="102">
        <f t="shared" si="5"/>
        <v>0.125</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microsoft.com/sharepoint/v3"/>
    <ds:schemaRef ds:uri="http://purl.org/dc/terms/"/>
    <ds:schemaRef ds:uri="http://purl.org/dc/elements/1.1/"/>
    <ds:schemaRef ds:uri="a46656d4-8850-49b3-aebd-68bd05f7f43d"/>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