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0\קבצים לאתר\"/>
    </mc:Choice>
  </mc:AlternateContent>
  <bookViews>
    <workbookView xWindow="0" yWindow="0" windowWidth="28800" windowHeight="11805" tabRatio="861" firstSheet="15" activeTab="15"/>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V48" i="5"/>
  <c r="W48"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W35" i="5"/>
  <c r="S36" i="5"/>
  <c r="T36" i="5"/>
  <c r="U36" i="5"/>
  <c r="V36" i="5"/>
  <c r="W36"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3" i="5"/>
  <c r="C14" i="5"/>
  <c r="C15" i="5"/>
  <c r="C16" i="5"/>
  <c r="E36" i="5"/>
  <c r="F36" i="5"/>
  <c r="G36" i="5"/>
  <c r="H36" i="5"/>
  <c r="I36" i="5"/>
  <c r="H37" i="5"/>
  <c r="I37" i="5"/>
  <c r="E38" i="5"/>
  <c r="F38" i="5"/>
  <c r="G38" i="5"/>
  <c r="H38" i="5"/>
  <c r="I38" i="5"/>
  <c r="E39" i="5"/>
  <c r="F39" i="5"/>
  <c r="G39" i="5"/>
  <c r="H39" i="5"/>
  <c r="I39" i="5"/>
  <c r="D36" i="5"/>
  <c r="D38" i="5"/>
  <c r="D39" i="5"/>
  <c r="D46" i="5"/>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3" i="26"/>
  <c r="R22"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R13" i="26"/>
  <c r="J18" i="5"/>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U24" i="26"/>
  <c r="S23" i="26"/>
  <c r="U22" i="26"/>
  <c r="U23" i="26"/>
  <c r="T24" i="26"/>
  <c r="V23" i="26"/>
  <c r="T22"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V14" i="26"/>
  <c r="U13" i="26"/>
  <c r="U14" i="26"/>
  <c r="T13" i="26"/>
  <c r="V12" i="26"/>
  <c r="S14" i="26"/>
  <c r="N14" i="26"/>
  <c r="O13" i="26"/>
  <c r="H18" i="26"/>
  <c r="J17" i="26"/>
  <c r="H17" i="26"/>
  <c r="G18" i="26"/>
  <c r="I17" i="26"/>
  <c r="J18" i="26"/>
  <c r="I18" i="26"/>
  <c r="G17" i="26"/>
  <c r="J14" i="26"/>
  <c r="G13" i="26"/>
  <c r="F13" i="26"/>
  <c r="G14" i="26"/>
  <c r="I12" i="26"/>
  <c r="I14" i="26"/>
  <c r="J13"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Y11" i="10"/>
  <c r="U12" i="10"/>
  <c r="V12" i="10"/>
  <c r="W12" i="10"/>
  <c r="X12" i="10"/>
  <c r="Y12"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T25" i="10"/>
  <c r="Y24" i="10"/>
  <c r="X24" i="10"/>
  <c r="W24" i="10"/>
  <c r="V24" i="10"/>
  <c r="U24" i="10"/>
  <c r="T24" i="10"/>
  <c r="Y23" i="10"/>
  <c r="X23" i="10"/>
  <c r="W23" i="10"/>
  <c r="V23" i="10"/>
  <c r="U23" i="10"/>
  <c r="T23" i="10"/>
  <c r="T20" i="10"/>
  <c r="T12" i="10"/>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G12" i="10"/>
  <c r="H12" i="10"/>
  <c r="I12" i="10"/>
  <c r="J12" i="10"/>
  <c r="K12" i="10"/>
  <c r="J13" i="10"/>
  <c r="K13" i="10"/>
  <c r="G14" i="10"/>
  <c r="H14" i="10"/>
  <c r="I14" i="10"/>
  <c r="J14" i="10"/>
  <c r="K14" i="10"/>
  <c r="G15" i="10"/>
  <c r="H15" i="10"/>
  <c r="I15" i="10"/>
  <c r="J15" i="10"/>
  <c r="K15" i="10"/>
  <c r="F12"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J10" i="11" s="1"/>
  <c r="K15" i="17"/>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D15" i="17"/>
  <c r="H10" i="11"/>
  <c r="D10" i="11"/>
  <c r="C10" i="11"/>
  <c r="F10" i="11"/>
  <c r="G10" i="11"/>
  <c r="I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I25" i="26"/>
  <c r="K11" i="26"/>
  <c r="G25" i="26"/>
  <c r="H19" i="26"/>
  <c r="K21" i="26"/>
  <c r="M25" i="26"/>
  <c r="P25" i="26"/>
  <c r="K24" i="26"/>
  <c r="K23" i="26"/>
  <c r="G26" i="10"/>
  <c r="E24"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S24" i="10" l="1"/>
  <c r="R50" i="5"/>
  <c r="AE28" i="5"/>
  <c r="Q23" i="26"/>
  <c r="S23" i="10"/>
  <c r="AE17" i="5"/>
  <c r="U35" i="5" s="1"/>
  <c r="C17" i="5"/>
  <c r="F12" i="26" s="1"/>
  <c r="D37" i="5"/>
  <c r="O10" i="11"/>
  <c r="L10" i="11"/>
  <c r="S11" i="26"/>
  <c r="S14" i="10"/>
  <c r="Q14" i="26"/>
  <c r="S12" i="10"/>
  <c r="Q13" i="26"/>
  <c r="Y16" i="10"/>
  <c r="W40" i="5"/>
  <c r="S35" i="5"/>
  <c r="S15" i="10"/>
  <c r="Q39" i="5"/>
  <c r="I35" i="5"/>
  <c r="I40" i="5" s="1"/>
  <c r="H35" i="5"/>
  <c r="H40" i="5" s="1"/>
  <c r="J11" i="10"/>
  <c r="J16" i="10" s="1"/>
  <c r="J11" i="26"/>
  <c r="J15" i="26" s="1"/>
  <c r="I11" i="10"/>
  <c r="H11" i="26"/>
  <c r="E13" i="26"/>
  <c r="F35" i="5"/>
  <c r="C36" i="5"/>
  <c r="C18" i="5"/>
  <c r="D35" i="5"/>
  <c r="F11" i="10"/>
  <c r="F11" i="26"/>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9" i="5"/>
  <c r="E14" i="26"/>
  <c r="E15" i="10"/>
  <c r="G13" i="10"/>
  <c r="E37" i="5"/>
  <c r="E14"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8" i="5"/>
  <c r="Q47"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R24" i="26" l="1"/>
  <c r="Q24" i="26" s="1"/>
  <c r="U25" i="10"/>
  <c r="S25" i="10" s="1"/>
  <c r="S49" i="5"/>
  <c r="Q49" i="5" s="1"/>
  <c r="W46" i="5"/>
  <c r="W50" i="5" s="1"/>
  <c r="Y22" i="10"/>
  <c r="Y26" i="10" s="1"/>
  <c r="V21" i="26"/>
  <c r="V25" i="26" s="1"/>
  <c r="V46" i="5"/>
  <c r="V50" i="5" s="1"/>
  <c r="X22" i="10"/>
  <c r="X26" i="10" s="1"/>
  <c r="U21" i="26"/>
  <c r="U25" i="26" s="1"/>
  <c r="U46" i="5"/>
  <c r="U50" i="5" s="1"/>
  <c r="T21" i="26"/>
  <c r="T25" i="26" s="1"/>
  <c r="W22" i="10"/>
  <c r="W26" i="10" s="1"/>
  <c r="T46" i="5"/>
  <c r="T50" i="5" s="1"/>
  <c r="V22" i="10"/>
  <c r="V26" i="10" s="1"/>
  <c r="S21" i="26"/>
  <c r="S25" i="26" s="1"/>
  <c r="S46" i="5"/>
  <c r="R21" i="26"/>
  <c r="U22" i="10"/>
  <c r="U11" i="26"/>
  <c r="U15" i="26" s="1"/>
  <c r="R35" i="5"/>
  <c r="R40" i="5" s="1"/>
  <c r="V35" i="5"/>
  <c r="V40" i="5" s="1"/>
  <c r="U11" i="10"/>
  <c r="T35" i="5"/>
  <c r="V11" i="10"/>
  <c r="W11" i="10"/>
  <c r="T11" i="10"/>
  <c r="T16" i="10" s="1"/>
  <c r="X11" i="10"/>
  <c r="X16" i="10" s="1"/>
  <c r="R11" i="26"/>
  <c r="T12" i="26"/>
  <c r="U37" i="5"/>
  <c r="U40" i="5" s="1"/>
  <c r="W13" i="10"/>
  <c r="T40" i="5"/>
  <c r="V13" i="10"/>
  <c r="V16" i="10" s="1"/>
  <c r="S12" i="26"/>
  <c r="S15" i="26" s="1"/>
  <c r="T37" i="5"/>
  <c r="AE18" i="5"/>
  <c r="U13" i="10"/>
  <c r="T11" i="26"/>
  <c r="R12" i="26"/>
  <c r="R15" i="26" s="1"/>
  <c r="S37" i="5"/>
  <c r="I11" i="26"/>
  <c r="I15" i="26" s="1"/>
  <c r="G11" i="10"/>
  <c r="E11" i="10" s="1"/>
  <c r="K11" i="10"/>
  <c r="K16" i="10" s="1"/>
  <c r="H11" i="10"/>
  <c r="G11" i="26"/>
  <c r="G35" i="5"/>
  <c r="G37" i="5"/>
  <c r="H12" i="26"/>
  <c r="H15" i="26" s="1"/>
  <c r="I13" i="10"/>
  <c r="I16" i="10" s="1"/>
  <c r="E35" i="5"/>
  <c r="E40" i="5" s="1"/>
  <c r="F13" i="10"/>
  <c r="F37" i="5"/>
  <c r="C37" i="5" s="1"/>
  <c r="H13" i="10"/>
  <c r="G12" i="26"/>
  <c r="G15" i="26" s="1"/>
  <c r="Q11" i="26"/>
  <c r="S11" i="10"/>
  <c r="D40" i="5"/>
  <c r="F16" i="10"/>
  <c r="J41" i="3"/>
  <c r="X41" i="3"/>
  <c r="AI11" i="8"/>
  <c r="AE13" i="24"/>
  <c r="AE18" i="3"/>
  <c r="AE41" i="3"/>
  <c r="J18" i="3"/>
  <c r="L13" i="24"/>
  <c r="N14" i="8"/>
  <c r="E15" i="24"/>
  <c r="F15" i="26"/>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U26" i="10" l="1"/>
  <c r="S22" i="10"/>
  <c r="S26" i="10" s="1"/>
  <c r="R25" i="26"/>
  <c r="Q21" i="26"/>
  <c r="Q25" i="26" s="1"/>
  <c r="S50" i="5"/>
  <c r="Q46" i="5"/>
  <c r="Q50" i="5" s="1"/>
  <c r="Q37" i="5"/>
  <c r="Q40" i="5" s="1"/>
  <c r="W16" i="10"/>
  <c r="S40" i="5"/>
  <c r="T15" i="26"/>
  <c r="Q35" i="5"/>
  <c r="S13" i="10"/>
  <c r="U16" i="10"/>
  <c r="S16" i="10"/>
  <c r="Q12" i="26"/>
  <c r="Q15" i="26" s="1"/>
  <c r="H16" i="10"/>
  <c r="G16" i="10"/>
  <c r="G40" i="5"/>
  <c r="E11" i="26"/>
  <c r="E13" i="10"/>
  <c r="E12" i="26"/>
  <c r="E16" i="10"/>
  <c r="C35" i="5"/>
  <c r="C40" i="5" s="1"/>
  <c r="F40" i="5"/>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E15" i="26" l="1"/>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<sst xmlns="http://schemas.openxmlformats.org/spreadsheetml/2006/main" count="2486" uniqueCount="536">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</sst>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x14ac:dyDescent="0.2">
      <c r="B5" s="3" t="s">
        <v>5</v>
      </c>
      <c r="C5" s="379" t="s">
        <v>497</v>
      </c>
      <c r="D5" s="379"/>
      <c r="E5" s="379"/>
      <c r="F5" s="379"/>
      <c r="G5" s="379"/>
      <c r="H5" s="379"/>
      <c r="I5" s="379"/>
      <c r="J5" s="379"/>
      <c r="K5" s="379"/>
      <c r="L5" s="379"/>
      <c r="M5" s="379"/>
      <c r="N5" s="379"/>
    </row>
    <row r="6" spans="2:14" ht="15" customHeight="1" x14ac:dyDescent="0.2">
      <c r="B6" s="3"/>
      <c r="C6" s="379" t="s">
        <v>528</v>
      </c>
      <c r="D6" s="379"/>
      <c r="E6" s="379"/>
      <c r="F6" s="379"/>
      <c r="G6" s="379"/>
      <c r="H6" s="379"/>
      <c r="I6" s="379"/>
      <c r="J6" s="379"/>
      <c r="K6" s="379"/>
      <c r="L6" s="379"/>
      <c r="M6" s="379"/>
      <c r="N6" s="379"/>
    </row>
    <row r="7" spans="2:14" ht="18.75" customHeight="1" x14ac:dyDescent="0.2">
      <c r="B7" s="3" t="s">
        <v>6</v>
      </c>
      <c r="C7" s="379" t="s">
        <v>459</v>
      </c>
      <c r="D7" s="379"/>
      <c r="E7" s="379"/>
      <c r="F7" s="379"/>
      <c r="G7" s="379"/>
      <c r="H7" s="379"/>
      <c r="I7" s="379"/>
      <c r="J7" s="379"/>
      <c r="K7" s="379"/>
      <c r="L7" s="379"/>
      <c r="M7" s="379"/>
      <c r="N7" s="379"/>
    </row>
    <row r="8" spans="2:14" ht="15" customHeight="1" x14ac:dyDescent="0.2">
      <c r="B8" s="3" t="s">
        <v>7</v>
      </c>
      <c r="C8" s="379" t="s">
        <v>460</v>
      </c>
      <c r="D8" s="379"/>
      <c r="E8" s="379"/>
      <c r="F8" s="379"/>
      <c r="G8" s="379"/>
      <c r="H8" s="379"/>
      <c r="I8" s="379"/>
      <c r="J8" s="379"/>
      <c r="K8" s="379"/>
      <c r="L8" s="379"/>
      <c r="M8" s="379"/>
      <c r="N8" s="379"/>
    </row>
    <row r="9" spans="2:14" ht="15" customHeight="1" x14ac:dyDescent="0.2">
      <c r="B9" s="3" t="s">
        <v>8</v>
      </c>
      <c r="C9" s="379" t="s">
        <v>461</v>
      </c>
      <c r="D9" s="379"/>
      <c r="E9" s="379"/>
      <c r="F9" s="379"/>
      <c r="G9" s="379"/>
      <c r="H9" s="379"/>
      <c r="I9" s="379"/>
      <c r="J9" s="379"/>
      <c r="K9" s="379"/>
      <c r="L9" s="379"/>
      <c r="M9" s="379"/>
      <c r="N9" s="379"/>
    </row>
    <row r="10" spans="2:14" ht="15" customHeight="1" x14ac:dyDescent="0.2">
      <c r="B10" s="3" t="s">
        <v>9</v>
      </c>
      <c r="C10" s="379" t="s">
        <v>463</v>
      </c>
      <c r="D10" s="379"/>
      <c r="E10" s="379"/>
      <c r="F10" s="379"/>
      <c r="G10" s="379"/>
      <c r="H10" s="379"/>
      <c r="I10" s="379"/>
      <c r="J10" s="379"/>
      <c r="K10" s="379"/>
      <c r="L10" s="379"/>
      <c r="M10" s="379"/>
      <c r="N10" s="379"/>
    </row>
    <row r="11" spans="2:14" ht="15" customHeight="1" x14ac:dyDescent="0.2">
      <c r="B11" s="3" t="s">
        <v>10</v>
      </c>
      <c r="C11" s="379" t="s">
        <v>464</v>
      </c>
      <c r="D11" s="379"/>
      <c r="E11" s="379"/>
      <c r="F11" s="379"/>
      <c r="G11" s="379"/>
      <c r="H11" s="379"/>
      <c r="I11" s="379"/>
      <c r="J11" s="379"/>
      <c r="K11" s="379"/>
      <c r="L11" s="379"/>
      <c r="M11" s="379"/>
      <c r="N11" s="379"/>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J14" sqref="E14:J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636</v>
      </c>
      <c r="E11" s="144"/>
      <c r="F11" s="144"/>
      <c r="G11" s="144"/>
      <c r="H11" s="144"/>
      <c r="I11" s="144"/>
      <c r="J11" s="145"/>
      <c r="K11" s="143">
        <v>1667</v>
      </c>
      <c r="L11" s="144"/>
      <c r="M11" s="144"/>
      <c r="N11" s="144"/>
      <c r="O11" s="144"/>
      <c r="P11" s="144"/>
      <c r="Q11" s="146"/>
    </row>
    <row r="12" spans="2:17" ht="25.5" x14ac:dyDescent="0.2">
      <c r="B12" s="60" t="s">
        <v>159</v>
      </c>
      <c r="C12" s="61" t="s">
        <v>160</v>
      </c>
      <c r="D12" s="143">
        <v>1898</v>
      </c>
      <c r="E12" s="144"/>
      <c r="F12" s="144"/>
      <c r="G12" s="144"/>
      <c r="H12" s="144"/>
      <c r="I12" s="147"/>
      <c r="J12" s="148"/>
      <c r="K12" s="143">
        <v>1848</v>
      </c>
      <c r="L12" s="144"/>
      <c r="M12" s="144"/>
      <c r="N12" s="144"/>
      <c r="O12" s="144"/>
      <c r="P12" s="144"/>
      <c r="Q12" s="146"/>
    </row>
    <row r="13" spans="2:17" ht="25.5" x14ac:dyDescent="0.2">
      <c r="B13" s="62" t="s">
        <v>161</v>
      </c>
      <c r="C13" s="61" t="s">
        <v>162</v>
      </c>
      <c r="D13" s="143">
        <v>138</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1887</v>
      </c>
      <c r="E14" s="150">
        <v>130</v>
      </c>
      <c r="F14" s="150">
        <v>406</v>
      </c>
      <c r="G14" s="150">
        <v>269</v>
      </c>
      <c r="H14" s="150">
        <v>129</v>
      </c>
      <c r="I14" s="151">
        <v>190</v>
      </c>
      <c r="J14" s="152">
        <v>763</v>
      </c>
      <c r="K14" s="149">
        <f>SUM(L14:Q14)</f>
        <v>1765</v>
      </c>
      <c r="L14" s="150">
        <v>1669</v>
      </c>
      <c r="M14" s="150">
        <v>33</v>
      </c>
      <c r="N14" s="150"/>
      <c r="O14" s="150">
        <v>13</v>
      </c>
      <c r="P14" s="151">
        <v>33</v>
      </c>
      <c r="Q14" s="181">
        <v>17</v>
      </c>
    </row>
    <row r="15" spans="2:17" ht="38.25" x14ac:dyDescent="0.2">
      <c r="B15" s="62" t="s">
        <v>165</v>
      </c>
      <c r="C15" s="61" t="s">
        <v>166</v>
      </c>
      <c r="D15" s="149">
        <f>IF(D11+D12-D14-D13=0,"",D11+D12-D14-D13)</f>
        <v>509</v>
      </c>
      <c r="E15" s="144"/>
      <c r="F15" s="144"/>
      <c r="G15" s="144"/>
      <c r="H15" s="144"/>
      <c r="I15" s="147"/>
      <c r="J15" s="148"/>
      <c r="K15" s="149">
        <f>IF(K11+K12-K14-K13=0,"",K11+K12-K14-K13)</f>
        <v>1750</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2020</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2020</v>
      </c>
    </row>
    <row r="4" spans="1:41" x14ac:dyDescent="0.2">
      <c r="B4" s="182" t="s">
        <v>425</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529</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527</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2020</v>
      </c>
      <c r="F3" s="121">
        <f>E3-1</f>
        <v>-1</v>
      </c>
    </row>
    <row r="4" spans="1:68" x14ac:dyDescent="0.2">
      <c r="B4" s="182" t="s">
        <v>425</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הגמלאות המרכזית של עובדי ההסתדרות בע"מ</v>
      </c>
    </row>
    <row r="3" spans="1:25"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0.98449612403100772</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0.65633074935400515</v>
      </c>
      <c r="G11" s="79">
        <f>IF((' פנסיוני א3'!F12+' פנסיוני א3'!M12+' פנסיוני א3'!F13+' פנסיוני א3'!M13)=0,0,(' פנסיוני א3'!F12+' פנסיוני א3'!M12+' פנסיוני א3'!F13+' פנסיוני א3'!M13)/(' פנסיוני א3'!$C$17+' פנסיוני א3'!$J$17))</f>
        <v>0.1834625322997416</v>
      </c>
      <c r="H11" s="79">
        <f>IF((' פנסיוני א3'!G12+' פנסיוני א3'!N12+' פנסיוני א3'!G13+' פנסיוני א3'!N13)=0,0,(' פנסיוני א3'!G12+' פנסיוני א3'!N12+' פנסיוני א3'!G13+' פנסיוני א3'!N13)/(' פנסיוני א3'!$C$17+' פנסיוני א3'!$J$17))</f>
        <v>0.10852713178294573</v>
      </c>
      <c r="I11" s="79">
        <f>IF((' פנסיוני א3'!H12+' פנסיוני א3'!O12+' פנסיוני א3'!H13+' פנסיוני א3'!O13)=0,0,(' פנסיוני א3'!H12+' פנסיוני א3'!O12+' פנסיוני א3'!H13+' פנסיוני א3'!O13)/(' פנסיוני א3'!$C$17+' פנסיוני א3'!$J$17))</f>
        <v>2.0671834625322998E-2</v>
      </c>
      <c r="J11" s="79">
        <f>IF((' פנסיוני א3'!I12+' פנסיוני א3'!P12+' פנסיוני א3'!I13+' פנסיוני א3'!P13)=0,0,(' פנסיוני א3'!I12+' פנסיוני א3'!P12+' פנסיוני א3'!I13+' פנסיוני א3'!P13)/(' פנסיוני א3'!$C$17+' פנסיוני א3'!$J$17))</f>
        <v>1.5503875968992248E-2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0.9915433403805497</v>
      </c>
      <c r="R11" s="79">
        <f>IF(' פנסיוני א3'!AF12+' פנסיוני א3'!AG12+' פנסיוני א3'!AF13+' פנסיוני א3'!AG13=0,0,(' פנסיוני א3'!AF12+' פנסיוני א3'!AG12+' פנסיוני א3'!AF13+' פנסיוני א3'!AG13)/' פנסיוני א3'!$AE$17)</f>
        <v>0.59619450317124734</v>
      </c>
      <c r="S11" s="79">
        <f>IF(' פנסיוני א3'!AH12+' פנסיוני א3'!AH13=0,0,(' פנסיוני א3'!AH12+' פנסיוני א3'!AH13)/' פנסיוני א3'!$AE$17)</f>
        <v>0.35517970401691334</v>
      </c>
      <c r="T11" s="79">
        <f>IF(' פנסיוני א3'!AI12+' פנסיוני א3'!AI13=0,0,(' פנסיוני א3'!AI12+' פנסיוני א3'!AI13)/' פנסיוני א3'!$AE$17)</f>
        <v>3.5940803382663845E-2</v>
      </c>
      <c r="U11" s="79">
        <f>IF(' פנסיוני א3'!AJ12+' פנסיוני א3'!AJ13=0,0,(' פנסיוני א3'!AJ12+' פנסיוני א3'!AJ13)/' פנסיוני א3'!$AE$17)</f>
        <v>4.2283298097251587E-3</v>
      </c>
      <c r="V11" s="81">
        <f>IF(' פנסיוני א3'!AK12+' פנסיוני א3'!AK13=0,0,(' פנסיוני א3'!AK12+' פנסיוני א3'!AK13)/' פנסיוני א3'!$AE$17)</f>
        <v>0</v>
      </c>
    </row>
    <row r="12" spans="1:25" x14ac:dyDescent="0.2">
      <c r="A12" s="202">
        <v>4</v>
      </c>
      <c r="B12" s="203" t="s">
        <v>77</v>
      </c>
      <c r="C12" s="272"/>
      <c r="D12" s="273"/>
      <c r="E12" s="78">
        <f>SUM(F12:J12)</f>
        <v>1.5503875968992248E-2</v>
      </c>
      <c r="F12" s="79">
        <f>IF((' פנסיוני א3'!D14+' פנסיוני א3'!K14+' פנסיוני א3'!E14+' פנסיוני א3'!L14)=0,0,(' פנסיוני א3'!D14+' פנסיוני א3'!K14+' פנסיוני א3'!E14+' פנסיוני א3'!L14)/(' פנסיוני א3'!$C$17+' פנסיוני א3'!$J$17))</f>
        <v>5.1679586563307496E-3</v>
      </c>
      <c r="G12" s="79">
        <f>IF((' פנסיוני א3'!F14+' פנסיוני א3'!M14)=0,0,(' פנסיוני א3'!F14+' פנסיוני א3'!M14)/(' פנסיוני א3'!$C$17+' פנסיוני א3'!$J$17))</f>
        <v>5.1679586563307496E-3</v>
      </c>
      <c r="H12" s="79">
        <f>IF((' פנסיוני א3'!G14+' פנסיוני א3'!N14)=0,0,(' פנסיוני א3'!G14+' פנסיוני א3'!N14)/(' פנסיוני א3'!$C$17+' פנסיוני א3'!$J$17))</f>
        <v>5.1679586563307496E-3</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8.4566596194503175E-3</v>
      </c>
      <c r="R12" s="79">
        <f>IF(' פנסיוני א3'!AF14+' פנסיוני א3'!AG14=0,0,(' פנסיוני א3'!AF14+' פנסיוני א3'!AG14)/' פנסיוני א3'!$AE$17)</f>
        <v>2.1141649048625794E-3</v>
      </c>
      <c r="S12" s="79">
        <f>IF(' פנסיוני א3'!AH14=0,0,' פנסיוני א3'!AH14/' פנסיוני א3'!$AE$17)</f>
        <v>4.2283298097251587E-3</v>
      </c>
      <c r="T12" s="79">
        <f>IF(' פנסיוני א3'!AI14=0,0,' פנסיוני א3'!AI14/' פנסיוני א3'!$AE$17)</f>
        <v>2.1141649048625794E-3</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1</v>
      </c>
      <c r="F15" s="92">
        <f t="shared" si="0"/>
        <v>0.66149870801033595</v>
      </c>
      <c r="G15" s="92">
        <f t="shared" si="0"/>
        <v>0.18863049095607234</v>
      </c>
      <c r="H15" s="92">
        <f t="shared" si="0"/>
        <v>0.11369509043927649</v>
      </c>
      <c r="I15" s="92">
        <f t="shared" si="0"/>
        <v>2.0671834625322998E-2</v>
      </c>
      <c r="J15" s="83">
        <f t="shared" si="0"/>
        <v>1.5503875968992248E-2</v>
      </c>
      <c r="K15" s="78">
        <f t="shared" si="0"/>
        <v>0</v>
      </c>
      <c r="L15" s="92">
        <f t="shared" si="0"/>
        <v>0</v>
      </c>
      <c r="M15" s="92">
        <f t="shared" si="0"/>
        <v>0</v>
      </c>
      <c r="N15" s="92">
        <f t="shared" si="0"/>
        <v>0</v>
      </c>
      <c r="O15" s="92">
        <f t="shared" si="0"/>
        <v>0</v>
      </c>
      <c r="P15" s="83">
        <f t="shared" si="0"/>
        <v>0</v>
      </c>
      <c r="Q15" s="78">
        <f t="shared" si="0"/>
        <v>1</v>
      </c>
      <c r="R15" s="92">
        <f t="shared" si="0"/>
        <v>0.59830866807610994</v>
      </c>
      <c r="S15" s="92">
        <f t="shared" si="0"/>
        <v>0.3594080338266385</v>
      </c>
      <c r="T15" s="92">
        <f t="shared" si="0"/>
        <v>3.8054968287526428E-2</v>
      </c>
      <c r="U15" s="92">
        <f t="shared" si="0"/>
        <v>4.2283298097251587E-3</v>
      </c>
      <c r="V15" s="83">
        <f t="shared" si="0"/>
        <v>0</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446</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0.9285714285714286</v>
      </c>
      <c r="R21" s="79">
        <f>IF(' פנסיוני א3'!AF24+' פנסיוני א3'!AG24=0,0,(' פנסיוני א3'!AF24+' פנסיוני א3'!AG24)/' פנסיוני א3'!$AE$28)</f>
        <v>0.14285714285714285</v>
      </c>
      <c r="S21" s="79">
        <f>IF(' פנסיוני א3'!AH24=0,0,' פנסיוני א3'!AH24/' פנסיוני א3'!$AE$28)</f>
        <v>7.1428571428571425E-2</v>
      </c>
      <c r="T21" s="79">
        <f>IF(' פנסיוני א3'!AI24=0,0,' פנסיוני א3'!AI24/' פנסיוני א3'!$AE$28)</f>
        <v>0.5</v>
      </c>
      <c r="U21" s="79">
        <f>IF(' פנסיוני א3'!AJ24=0,0,' פנסיוני א3'!AJ24/' פנסיוני א3'!$AE$28)</f>
        <v>7.1428571428571425E-2</v>
      </c>
      <c r="V21" s="81">
        <f>IF(' פנסיוני א3'!AK24=0,0,' פנסיוני א3'!AK24/' פנסיוני א3'!$AE$28)</f>
        <v>0.14285714285714285</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6" t="s">
        <v>85</v>
      </c>
      <c r="C24" s="467"/>
      <c r="D24" s="47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7.1428571428571425E-2</v>
      </c>
      <c r="R24" s="79">
        <f>IF(' פנסיוני א3'!AF27+' פנסיוני א3'!AG27=0,0,(' פנסיוני א3'!AF27+' פנסיוני א3'!AG27)/' פנסיוני א3'!$AE$28)</f>
        <v>7.1428571428571425E-2</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2" t="s">
        <v>86</v>
      </c>
      <c r="C25" s="473"/>
      <c r="D25" s="47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0.21428571428571427</v>
      </c>
      <c r="S25" s="103">
        <f t="shared" si="2"/>
        <v>7.1428571428571425E-2</v>
      </c>
      <c r="T25" s="103">
        <f t="shared" si="2"/>
        <v>0.5</v>
      </c>
      <c r="U25" s="103">
        <f t="shared" si="2"/>
        <v>7.1428571428571425E-2</v>
      </c>
      <c r="V25" s="102">
        <f t="shared" si="2"/>
        <v>0.14285714285714285</v>
      </c>
    </row>
    <row r="26" spans="1:22" x14ac:dyDescent="0.2">
      <c r="A26" s="262"/>
      <c r="B26" s="447"/>
      <c r="C26" s="447"/>
      <c r="D26" s="447"/>
    </row>
    <row r="27" spans="1:22" x14ac:dyDescent="0.2">
      <c r="A27" s="301"/>
      <c r="B27" s="364" t="s">
        <v>527</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H13" sqref="H13:J13"/>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236</v>
      </c>
      <c r="C13" s="218">
        <f>VLOOKUP(B13,'רשימת גופים'!A3:B230,2,0)</f>
        <v>520020504</v>
      </c>
      <c r="D13" s="155" t="s">
        <v>534</v>
      </c>
      <c r="E13" s="156" t="s">
        <v>535</v>
      </c>
      <c r="F13" s="156">
        <v>2020</v>
      </c>
      <c r="G13" s="209" t="s">
        <v>447</v>
      </c>
      <c r="H13" s="383" t="str">
        <f>CONCATENATE("netunim","_",C13,"_",F13,".xlsx")</f>
        <v>netunim_520020504_2020.xlsx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6.8892421833598311E-2</v>
      </c>
      <c r="E10" s="116">
        <f>IF('נספח א4 - P'!$D$14=0,"",'נספח א4 - P'!F14/'נספח א4 - P'!$D$14)</f>
        <v>0.21515633280339164</v>
      </c>
      <c r="F10" s="116">
        <f>IF('נספח א4 - P'!$D$14=0,"",'נספח א4 - P'!G14/'נספח א4 - P'!$D$14)</f>
        <v>0.14255431902490726</v>
      </c>
      <c r="G10" s="116">
        <f>IF('נספח א4 - P'!$D$14=0,"",'נספח א4 - P'!H14/'נספח א4 - P'!$D$14)</f>
        <v>6.8362480127186015E-2</v>
      </c>
      <c r="H10" s="116">
        <f>IF('נספח א4 - P'!$D$14=0,"",'נספח א4 - P'!I14/'נספח א4 - P'!$D$14)</f>
        <v>0.10068892421833599</v>
      </c>
      <c r="I10" s="116">
        <f>IF('נספח א4 - P'!$D$14=0,"",'נספח א4 - P'!J14/'נספח א4 - P'!$D$14)</f>
        <v>0.40434552199258084</v>
      </c>
      <c r="J10" s="116">
        <f>IF('נספח א4 - P'!$K$14=0,"",'נספח א4 - P'!K14/'נספח א4 - P'!$K$14)</f>
        <v>1</v>
      </c>
      <c r="K10" s="116">
        <f>IF('נספח א4 - P'!$K$14=0,"",'נספח א4 - P'!L14/'נספח א4 - P'!$K$14)</f>
        <v>0.94560906515580734</v>
      </c>
      <c r="L10" s="116">
        <f>IF('נספח א4 - P'!$K$14=0,"",'נספח א4 - P'!M14/'נספח א4 - P'!$K$14)</f>
        <v>1.8696883852691217E-2</v>
      </c>
      <c r="M10" s="116">
        <f>IF('נספח א4 - P'!$K$14=0,"",'נספח א4 - P'!N14/'נספח א4 - P'!$K$14)</f>
        <v>0</v>
      </c>
      <c r="N10" s="116">
        <f>IF('נספח א4 - P'!$K$14=0,"",'נספח א4 - P'!O14/'נספח א4 - P'!$K$14)</f>
        <v>7.3654390934844195E-3</v>
      </c>
      <c r="O10" s="116">
        <f>IF('נספח א4 - P'!$K$14=0,"",'נספח א4 - P'!P14/'נספח א4 - P'!$K$14)</f>
        <v>1.8696883852691217E-2</v>
      </c>
      <c r="P10" s="117">
        <f>IF('נספח א4 - P'!$K$14=0,"",'נספח א4 - P'!Q14/'נספח א4 - P'!$K$14)</f>
        <v>9.6317280453257787E-3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495</v>
      </c>
      <c r="E7" s="47" t="s">
        <v>496</v>
      </c>
      <c r="F7" s="11" t="s">
        <v>394</v>
      </c>
      <c r="G7" s="11" t="s">
        <v>395</v>
      </c>
      <c r="H7" s="11" t="s">
        <v>396</v>
      </c>
      <c r="I7" s="157" t="s">
        <v>41</v>
      </c>
      <c r="J7" s="525"/>
      <c r="K7" s="11" t="s">
        <v>495</v>
      </c>
      <c r="L7" s="47" t="s">
        <v>496</v>
      </c>
      <c r="M7" s="11" t="s">
        <v>394</v>
      </c>
      <c r="N7" s="11" t="s">
        <v>395</v>
      </c>
      <c r="O7" s="11" t="s">
        <v>396</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394</v>
      </c>
      <c r="I31" s="11" t="s">
        <v>395</v>
      </c>
      <c r="J31" s="11" t="s">
        <v>396</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525</v>
      </c>
      <c r="C38" s="503" t="s">
        <v>462</v>
      </c>
      <c r="D38" s="503"/>
      <c r="E38" s="50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446</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495</v>
      </c>
      <c r="H95" s="326" t="s">
        <v>496</v>
      </c>
      <c r="I95" s="325" t="s">
        <v>394</v>
      </c>
      <c r="J95" s="325" t="s">
        <v>395</v>
      </c>
      <c r="K95" s="325" t="s">
        <v>396</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498</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7" t="s">
        <v>499</v>
      </c>
      <c r="C99" s="518" t="s">
        <v>458</v>
      </c>
      <c r="D99" s="518"/>
      <c r="E99" s="51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521</v>
      </c>
      <c r="C103" s="518" t="s">
        <v>462</v>
      </c>
      <c r="D103" s="518"/>
      <c r="E103" s="51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446</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79" workbookViewId="0">
      <selection activeCell="A209" sqref="A209"/>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532</v>
      </c>
      <c r="B196">
        <v>515764868</v>
      </c>
    </row>
    <row r="197" spans="1:2" x14ac:dyDescent="0.2">
      <c r="A197" t="s">
        <v>531</v>
      </c>
      <c r="B197">
        <v>515761625</v>
      </c>
    </row>
    <row r="198" spans="1:2" x14ac:dyDescent="0.2">
      <c r="A198" s="212" t="s">
        <v>533</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הגמלאות המרכזית של עובדי ההסתדרות בע"מ</v>
      </c>
    </row>
    <row r="3" spans="1:145" ht="15.75" x14ac:dyDescent="0.25">
      <c r="B3" s="183" t="str">
        <f>CONCATENATE(הוראות!Z13,הוראות!F13)</f>
        <v>הנתונים ביחידות בודדות לשנת 2020</v>
      </c>
    </row>
    <row r="4" spans="1:145" ht="12.75" customHeight="1" x14ac:dyDescent="0.2">
      <c r="B4" s="182" t="s">
        <v>425</v>
      </c>
      <c r="C4" s="404" t="s">
        <v>26</v>
      </c>
      <c r="D4" s="405"/>
      <c r="E4" s="405"/>
      <c r="F4" s="405"/>
      <c r="G4" s="405"/>
      <c r="H4" s="405"/>
      <c r="I4" s="406"/>
      <c r="J4" s="396" t="s">
        <v>27</v>
      </c>
      <c r="K4" s="397"/>
      <c r="L4" s="397"/>
      <c r="M4" s="397"/>
      <c r="N4" s="397"/>
      <c r="O4" s="397"/>
      <c r="P4" s="397"/>
      <c r="Q4" s="397"/>
      <c r="R4" s="397"/>
      <c r="S4" s="397"/>
      <c r="T4" s="397"/>
      <c r="U4" s="397"/>
      <c r="V4" s="397"/>
      <c r="W4" s="398"/>
      <c r="X4" s="396" t="s">
        <v>529</v>
      </c>
      <c r="Y4" s="397"/>
      <c r="Z4" s="397"/>
      <c r="AA4" s="397"/>
      <c r="AB4" s="397"/>
      <c r="AC4" s="397"/>
      <c r="AD4" s="397"/>
      <c r="AE4" s="397"/>
      <c r="AF4" s="397"/>
      <c r="AG4" s="397"/>
      <c r="AH4" s="397"/>
      <c r="AI4" s="397"/>
      <c r="AJ4" s="397"/>
      <c r="AK4" s="398"/>
      <c r="AL4" s="396" t="s">
        <v>530</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28</v>
      </c>
      <c r="K5" s="411"/>
      <c r="L5" s="411"/>
      <c r="M5" s="411"/>
      <c r="N5" s="411"/>
      <c r="O5" s="411"/>
      <c r="P5" s="412"/>
      <c r="Q5" s="399" t="s">
        <v>29</v>
      </c>
      <c r="R5" s="411"/>
      <c r="S5" s="411"/>
      <c r="T5" s="411"/>
      <c r="U5" s="411"/>
      <c r="V5" s="411"/>
      <c r="W5" s="412"/>
      <c r="X5" s="399" t="s">
        <v>30</v>
      </c>
      <c r="Y5" s="400"/>
      <c r="Z5" s="400"/>
      <c r="AA5" s="400"/>
      <c r="AB5" s="400"/>
      <c r="AC5" s="400"/>
      <c r="AD5" s="401"/>
      <c r="AE5" s="399" t="s">
        <v>31</v>
      </c>
      <c r="AF5" s="400"/>
      <c r="AG5" s="400"/>
      <c r="AH5" s="400"/>
      <c r="AI5" s="400"/>
      <c r="AJ5" s="400"/>
      <c r="AK5" s="401"/>
      <c r="AL5" s="399" t="s">
        <v>30</v>
      </c>
      <c r="AM5" s="400"/>
      <c r="AN5" s="400"/>
      <c r="AO5" s="400"/>
      <c r="AP5" s="400"/>
      <c r="AQ5" s="400"/>
      <c r="AR5" s="401"/>
      <c r="AS5" s="399" t="s">
        <v>31</v>
      </c>
      <c r="AT5" s="400"/>
      <c r="AU5" s="400"/>
      <c r="AV5" s="400"/>
      <c r="AW5" s="400"/>
      <c r="AX5" s="400"/>
      <c r="AY5" s="401"/>
    </row>
    <row r="6" spans="1:145" ht="12.75" customHeight="1" x14ac:dyDescent="0.2">
      <c r="A6" s="159"/>
      <c r="B6" s="159"/>
      <c r="C6" s="402" t="s">
        <v>32</v>
      </c>
      <c r="D6" s="260"/>
      <c r="E6" s="415" t="s">
        <v>33</v>
      </c>
      <c r="F6" s="415"/>
      <c r="G6" s="415"/>
      <c r="H6" s="415"/>
      <c r="I6" s="416"/>
      <c r="J6" s="402" t="str">
        <f>C6</f>
        <v>סה"כ מספר תביעות</v>
      </c>
      <c r="K6" s="400" t="s">
        <v>33</v>
      </c>
      <c r="L6" s="400"/>
      <c r="M6" s="400"/>
      <c r="N6" s="400"/>
      <c r="O6" s="400"/>
      <c r="P6" s="401"/>
      <c r="Q6" s="402" t="str">
        <f>C6</f>
        <v>סה"כ מספר תביעות</v>
      </c>
      <c r="R6" s="400" t="s">
        <v>33</v>
      </c>
      <c r="S6" s="400"/>
      <c r="T6" s="400"/>
      <c r="U6" s="400"/>
      <c r="V6" s="400"/>
      <c r="W6" s="401"/>
      <c r="X6" s="402" t="str">
        <f>C6</f>
        <v>סה"כ מספר תביעות</v>
      </c>
      <c r="Y6" s="400" t="s">
        <v>33</v>
      </c>
      <c r="Z6" s="400"/>
      <c r="AA6" s="400"/>
      <c r="AB6" s="400"/>
      <c r="AC6" s="400"/>
      <c r="AD6" s="401"/>
      <c r="AE6" s="402" t="str">
        <f>J6</f>
        <v>סה"כ מספר תביעות</v>
      </c>
      <c r="AF6" s="400" t="s">
        <v>33</v>
      </c>
      <c r="AG6" s="400"/>
      <c r="AH6" s="400"/>
      <c r="AI6" s="400"/>
      <c r="AJ6" s="400"/>
      <c r="AK6" s="401"/>
      <c r="AL6" s="402" t="str">
        <f>Q6</f>
        <v>סה"כ מספר תביעות</v>
      </c>
      <c r="AM6" s="400" t="s">
        <v>33</v>
      </c>
      <c r="AN6" s="400"/>
      <c r="AO6" s="400"/>
      <c r="AP6" s="400"/>
      <c r="AQ6" s="400"/>
      <c r="AR6" s="401"/>
      <c r="AS6" s="402" t="str">
        <f>X6</f>
        <v>סה"כ מספר תביעות</v>
      </c>
      <c r="AT6" s="400" t="s">
        <v>33</v>
      </c>
      <c r="AU6" s="400"/>
      <c r="AV6" s="400"/>
      <c r="AW6" s="400"/>
      <c r="AX6" s="400"/>
      <c r="AY6" s="401"/>
    </row>
    <row r="7" spans="1:145" ht="25.5" customHeight="1" x14ac:dyDescent="0.2">
      <c r="A7" s="159"/>
      <c r="B7" s="413" t="s">
        <v>34</v>
      </c>
      <c r="C7" s="403"/>
      <c r="D7" s="240" t="s">
        <v>502</v>
      </c>
      <c r="E7" s="47" t="s">
        <v>503</v>
      </c>
      <c r="F7" s="47" t="s">
        <v>36</v>
      </c>
      <c r="G7" s="47" t="s">
        <v>37</v>
      </c>
      <c r="H7" s="47" t="s">
        <v>38</v>
      </c>
      <c r="I7" s="160" t="s">
        <v>39</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501</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2020</v>
      </c>
    </row>
    <row r="4" spans="1:46" x14ac:dyDescent="0.2">
      <c r="B4" s="182" t="s">
        <v>425</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501</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500</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7" t="s">
        <v>499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הגמלאות המרכזית של עובדי ההסתדרות בע"מ</v>
      </c>
    </row>
    <row r="3" spans="1:121" ht="15.75" x14ac:dyDescent="0.25">
      <c r="B3" s="225" t="str">
        <f>CONCATENATE(הוראות!Z13,הוראות!F13)</f>
        <v>הנתונים ביחידות בודדות לשנת 2020</v>
      </c>
    </row>
    <row r="4" spans="1:121" ht="12.75" customHeight="1" x14ac:dyDescent="0.2">
      <c r="B4" s="182" t="s">
        <v>425</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404" t="s">
        <v>91</v>
      </c>
      <c r="BH4" s="405"/>
      <c r="BI4" s="405"/>
      <c r="BJ4" s="405"/>
      <c r="BK4" s="405"/>
      <c r="BL4" s="405"/>
      <c r="BM4" s="406"/>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404" t="s">
        <v>95</v>
      </c>
      <c r="DE4" s="405"/>
      <c r="DF4" s="405"/>
      <c r="DG4" s="405"/>
      <c r="DH4" s="405"/>
      <c r="DI4" s="405"/>
      <c r="DJ4" s="405"/>
      <c r="DK4" s="405"/>
      <c r="DL4" s="405"/>
      <c r="DM4" s="405"/>
      <c r="DN4" s="405"/>
      <c r="DO4" s="405"/>
      <c r="DP4" s="405"/>
      <c r="DQ4" s="406"/>
    </row>
    <row r="5" spans="1:121" ht="12.75" customHeight="1" x14ac:dyDescent="0.2">
      <c r="B5" s="226"/>
      <c r="C5" s="399" t="s">
        <v>96</v>
      </c>
      <c r="D5" s="411"/>
      <c r="E5" s="411"/>
      <c r="F5" s="411"/>
      <c r="G5" s="411"/>
      <c r="H5" s="411"/>
      <c r="I5" s="412"/>
      <c r="J5" s="399" t="s">
        <v>97</v>
      </c>
      <c r="K5" s="411"/>
      <c r="L5" s="411"/>
      <c r="M5" s="411"/>
      <c r="N5" s="411"/>
      <c r="O5" s="411"/>
      <c r="P5" s="412"/>
      <c r="Q5" s="399" t="s">
        <v>96</v>
      </c>
      <c r="R5" s="411"/>
      <c r="S5" s="411"/>
      <c r="T5" s="411"/>
      <c r="U5" s="411"/>
      <c r="V5" s="411"/>
      <c r="W5" s="412"/>
      <c r="X5" s="399" t="s">
        <v>97</v>
      </c>
      <c r="Y5" s="411"/>
      <c r="Z5" s="411"/>
      <c r="AA5" s="411"/>
      <c r="AB5" s="411"/>
      <c r="AC5" s="411"/>
      <c r="AD5" s="412"/>
      <c r="AE5" s="399" t="s">
        <v>96</v>
      </c>
      <c r="AF5" s="411"/>
      <c r="AG5" s="411"/>
      <c r="AH5" s="411"/>
      <c r="AI5" s="411"/>
      <c r="AJ5" s="411"/>
      <c r="AK5" s="412"/>
      <c r="AL5" s="399" t="s">
        <v>97</v>
      </c>
      <c r="AM5" s="411"/>
      <c r="AN5" s="411"/>
      <c r="AO5" s="411"/>
      <c r="AP5" s="411"/>
      <c r="AQ5" s="411"/>
      <c r="AR5" s="412"/>
      <c r="AS5" s="399" t="s">
        <v>96</v>
      </c>
      <c r="AT5" s="411"/>
      <c r="AU5" s="411"/>
      <c r="AV5" s="411"/>
      <c r="AW5" s="411"/>
      <c r="AX5" s="411"/>
      <c r="AY5" s="412"/>
      <c r="AZ5" s="399" t="s">
        <v>97</v>
      </c>
      <c r="BA5" s="411"/>
      <c r="BB5" s="411"/>
      <c r="BC5" s="411"/>
      <c r="BD5" s="411"/>
      <c r="BE5" s="411"/>
      <c r="BF5" s="412"/>
      <c r="BG5" s="407"/>
      <c r="BH5" s="409"/>
      <c r="BI5" s="409"/>
      <c r="BJ5" s="409"/>
      <c r="BK5" s="409"/>
      <c r="BL5" s="409"/>
      <c r="BM5" s="410"/>
      <c r="BN5" s="399" t="s">
        <v>96</v>
      </c>
      <c r="BO5" s="411"/>
      <c r="BP5" s="411"/>
      <c r="BQ5" s="411"/>
      <c r="BR5" s="411"/>
      <c r="BS5" s="411"/>
      <c r="BT5" s="412"/>
      <c r="BU5" s="399" t="s">
        <v>97</v>
      </c>
      <c r="BV5" s="411"/>
      <c r="BW5" s="411"/>
      <c r="BX5" s="411"/>
      <c r="BY5" s="411"/>
      <c r="BZ5" s="411"/>
      <c r="CA5" s="412"/>
      <c r="CB5" s="399" t="s">
        <v>96</v>
      </c>
      <c r="CC5" s="411"/>
      <c r="CD5" s="411"/>
      <c r="CE5" s="411"/>
      <c r="CF5" s="411"/>
      <c r="CG5" s="411"/>
      <c r="CH5" s="412"/>
      <c r="CI5" s="399" t="s">
        <v>97</v>
      </c>
      <c r="CJ5" s="411"/>
      <c r="CK5" s="411"/>
      <c r="CL5" s="411"/>
      <c r="CM5" s="411"/>
      <c r="CN5" s="411"/>
      <c r="CO5" s="412"/>
      <c r="CP5" s="399" t="s">
        <v>96</v>
      </c>
      <c r="CQ5" s="411"/>
      <c r="CR5" s="411"/>
      <c r="CS5" s="411"/>
      <c r="CT5" s="411"/>
      <c r="CU5" s="411"/>
      <c r="CV5" s="412"/>
      <c r="CW5" s="399" t="s">
        <v>97</v>
      </c>
      <c r="CX5" s="411"/>
      <c r="CY5" s="411"/>
      <c r="CZ5" s="411"/>
      <c r="DA5" s="411"/>
      <c r="DB5" s="411"/>
      <c r="DC5" s="412"/>
      <c r="DD5" s="399" t="s">
        <v>96</v>
      </c>
      <c r="DE5" s="411"/>
      <c r="DF5" s="411"/>
      <c r="DG5" s="411"/>
      <c r="DH5" s="411"/>
      <c r="DI5" s="411"/>
      <c r="DJ5" s="412"/>
      <c r="DK5" s="399" t="s">
        <v>97</v>
      </c>
      <c r="DL5" s="411"/>
      <c r="DM5" s="411"/>
      <c r="DN5" s="411"/>
      <c r="DO5" s="411"/>
      <c r="DP5" s="411"/>
      <c r="DQ5" s="412"/>
    </row>
    <row r="6" spans="1:121" ht="12.75" customHeight="1" x14ac:dyDescent="0.2">
      <c r="A6" s="159"/>
      <c r="B6" s="226"/>
      <c r="C6" s="451" t="s">
        <v>32</v>
      </c>
      <c r="D6" s="400" t="s">
        <v>33</v>
      </c>
      <c r="E6" s="400"/>
      <c r="F6" s="400"/>
      <c r="G6" s="400"/>
      <c r="H6" s="400"/>
      <c r="I6" s="401"/>
      <c r="J6" s="451" t="str">
        <f>C6</f>
        <v>סה"כ מספר תביעות</v>
      </c>
      <c r="K6" s="400" t="s">
        <v>33</v>
      </c>
      <c r="L6" s="400"/>
      <c r="M6" s="400"/>
      <c r="N6" s="400"/>
      <c r="O6" s="400"/>
      <c r="P6" s="401"/>
      <c r="Q6" s="451" t="str">
        <f>J6</f>
        <v>סה"כ מספר תביעות</v>
      </c>
      <c r="R6" s="400" t="s">
        <v>33</v>
      </c>
      <c r="S6" s="400"/>
      <c r="T6" s="400"/>
      <c r="U6" s="400"/>
      <c r="V6" s="400"/>
      <c r="W6" s="401"/>
      <c r="X6" s="451" t="str">
        <f>Q6</f>
        <v>סה"כ מספר תביעות</v>
      </c>
      <c r="Y6" s="400" t="s">
        <v>33</v>
      </c>
      <c r="Z6" s="400"/>
      <c r="AA6" s="400"/>
      <c r="AB6" s="400"/>
      <c r="AC6" s="400"/>
      <c r="AD6" s="401"/>
      <c r="AE6" s="451" t="str">
        <f>X6</f>
        <v>סה"כ מספר תביעות</v>
      </c>
      <c r="AF6" s="400" t="s">
        <v>33</v>
      </c>
      <c r="AG6" s="400"/>
      <c r="AH6" s="400"/>
      <c r="AI6" s="400"/>
      <c r="AJ6" s="400"/>
      <c r="AK6" s="401"/>
      <c r="AL6" s="451" t="str">
        <f>AE6</f>
        <v>סה"כ מספר תביעות</v>
      </c>
      <c r="AM6" s="400" t="s">
        <v>33</v>
      </c>
      <c r="AN6" s="400"/>
      <c r="AO6" s="400"/>
      <c r="AP6" s="400"/>
      <c r="AQ6" s="400"/>
      <c r="AR6" s="401"/>
      <c r="AS6" s="451" t="str">
        <f>AL6</f>
        <v>סה"כ מספר תביעות</v>
      </c>
      <c r="AT6" s="400" t="s">
        <v>33</v>
      </c>
      <c r="AU6" s="400"/>
      <c r="AV6" s="400"/>
      <c r="AW6" s="400"/>
      <c r="AX6" s="400"/>
      <c r="AY6" s="401"/>
      <c r="AZ6" s="451" t="str">
        <f>AS6</f>
        <v>סה"כ מספר תביעות</v>
      </c>
      <c r="BA6" s="400" t="s">
        <v>33</v>
      </c>
      <c r="BB6" s="400"/>
      <c r="BC6" s="400"/>
      <c r="BD6" s="400"/>
      <c r="BE6" s="400"/>
      <c r="BF6" s="401"/>
      <c r="BG6" s="451" t="str">
        <f>AZ6</f>
        <v>סה"כ מספר תביעות</v>
      </c>
      <c r="BH6" s="400" t="s">
        <v>33</v>
      </c>
      <c r="BI6" s="400"/>
      <c r="BJ6" s="400"/>
      <c r="BK6" s="400"/>
      <c r="BL6" s="400"/>
      <c r="BM6" s="401"/>
      <c r="BN6" s="451" t="str">
        <f>AZ6</f>
        <v>סה"כ מספר תביעות</v>
      </c>
      <c r="BO6" s="400" t="s">
        <v>33</v>
      </c>
      <c r="BP6" s="400"/>
      <c r="BQ6" s="400"/>
      <c r="BR6" s="400"/>
      <c r="BS6" s="400"/>
      <c r="BT6" s="401"/>
      <c r="BU6" s="451" t="str">
        <f>BG6</f>
        <v>סה"כ מספר תביעות</v>
      </c>
      <c r="BV6" s="400" t="s">
        <v>33</v>
      </c>
      <c r="BW6" s="400"/>
      <c r="BX6" s="400"/>
      <c r="BY6" s="400"/>
      <c r="BZ6" s="400"/>
      <c r="CA6" s="401"/>
      <c r="CB6" s="451" t="str">
        <f>BN6</f>
        <v>סה"כ מספר תביעות</v>
      </c>
      <c r="CC6" s="400" t="s">
        <v>33</v>
      </c>
      <c r="CD6" s="400"/>
      <c r="CE6" s="400"/>
      <c r="CF6" s="400"/>
      <c r="CG6" s="400"/>
      <c r="CH6" s="401"/>
      <c r="CI6" s="451" t="str">
        <f>BU6</f>
        <v>סה"כ מספר תביעות</v>
      </c>
      <c r="CJ6" s="400" t="s">
        <v>33</v>
      </c>
      <c r="CK6" s="400"/>
      <c r="CL6" s="400"/>
      <c r="CM6" s="400"/>
      <c r="CN6" s="400"/>
      <c r="CO6" s="401"/>
      <c r="CP6" s="451" t="str">
        <f>CB6</f>
        <v>סה"כ מספר תביעות</v>
      </c>
      <c r="CQ6" s="400" t="s">
        <v>33</v>
      </c>
      <c r="CR6" s="400"/>
      <c r="CS6" s="400"/>
      <c r="CT6" s="400"/>
      <c r="CU6" s="400"/>
      <c r="CV6" s="401"/>
      <c r="CW6" s="451" t="str">
        <f>CI6</f>
        <v>סה"כ מספר תביעות</v>
      </c>
      <c r="CX6" s="400" t="s">
        <v>33</v>
      </c>
      <c r="CY6" s="400"/>
      <c r="CZ6" s="400"/>
      <c r="DA6" s="400"/>
      <c r="DB6" s="400"/>
      <c r="DC6" s="401"/>
      <c r="DD6" s="451" t="str">
        <f>CP6</f>
        <v>סה"כ מספר תביעות</v>
      </c>
      <c r="DE6" s="400" t="s">
        <v>33</v>
      </c>
      <c r="DF6" s="400"/>
      <c r="DG6" s="400"/>
      <c r="DH6" s="400"/>
      <c r="DI6" s="400"/>
      <c r="DJ6" s="401"/>
      <c r="DK6" s="451" t="str">
        <f>CW6</f>
        <v>סה"כ מספר תביעות</v>
      </c>
      <c r="DL6" s="400" t="s">
        <v>33</v>
      </c>
      <c r="DM6" s="400"/>
      <c r="DN6" s="400"/>
      <c r="DO6" s="400"/>
      <c r="DP6" s="400"/>
      <c r="DQ6" s="401"/>
    </row>
    <row r="7" spans="1:121"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c r="AZ7" s="403"/>
      <c r="BA7" s="240" t="s">
        <v>495</v>
      </c>
      <c r="BB7" s="47" t="s">
        <v>496</v>
      </c>
      <c r="BC7" s="47" t="s">
        <v>394</v>
      </c>
      <c r="BD7" s="47" t="s">
        <v>395</v>
      </c>
      <c r="BE7" s="47" t="s">
        <v>396</v>
      </c>
      <c r="BF7" s="160" t="s">
        <v>41</v>
      </c>
      <c r="BG7" s="403"/>
      <c r="BH7" s="240" t="s">
        <v>495</v>
      </c>
      <c r="BI7" s="47" t="s">
        <v>496</v>
      </c>
      <c r="BJ7" s="47" t="s">
        <v>394</v>
      </c>
      <c r="BK7" s="47" t="s">
        <v>395</v>
      </c>
      <c r="BL7" s="47" t="s">
        <v>396</v>
      </c>
      <c r="BM7" s="160" t="s">
        <v>41</v>
      </c>
      <c r="BN7" s="403"/>
      <c r="BO7" s="240" t="s">
        <v>495</v>
      </c>
      <c r="BP7" s="47" t="s">
        <v>496</v>
      </c>
      <c r="BQ7" s="47" t="s">
        <v>394</v>
      </c>
      <c r="BR7" s="47" t="s">
        <v>395</v>
      </c>
      <c r="BS7" s="47" t="s">
        <v>396</v>
      </c>
      <c r="BT7" s="160" t="s">
        <v>41</v>
      </c>
      <c r="BU7" s="403"/>
      <c r="BV7" s="240" t="s">
        <v>495</v>
      </c>
      <c r="BW7" s="47" t="s">
        <v>496</v>
      </c>
      <c r="BX7" s="47" t="s">
        <v>394</v>
      </c>
      <c r="BY7" s="47" t="s">
        <v>395</v>
      </c>
      <c r="BZ7" s="47" t="s">
        <v>396</v>
      </c>
      <c r="CA7" s="160" t="s">
        <v>41</v>
      </c>
      <c r="CB7" s="403"/>
      <c r="CC7" s="240" t="s">
        <v>495</v>
      </c>
      <c r="CD7" s="47" t="s">
        <v>496</v>
      </c>
      <c r="CE7" s="47" t="s">
        <v>394</v>
      </c>
      <c r="CF7" s="47" t="s">
        <v>395</v>
      </c>
      <c r="CG7" s="47" t="s">
        <v>396</v>
      </c>
      <c r="CH7" s="160" t="s">
        <v>41</v>
      </c>
      <c r="CI7" s="403"/>
      <c r="CJ7" s="240" t="s">
        <v>495</v>
      </c>
      <c r="CK7" s="47" t="s">
        <v>496</v>
      </c>
      <c r="CL7" s="47" t="s">
        <v>394</v>
      </c>
      <c r="CM7" s="47" t="s">
        <v>395</v>
      </c>
      <c r="CN7" s="47" t="s">
        <v>396</v>
      </c>
      <c r="CO7" s="160" t="s">
        <v>41</v>
      </c>
      <c r="CP7" s="403"/>
      <c r="CQ7" s="240" t="s">
        <v>495</v>
      </c>
      <c r="CR7" s="47" t="s">
        <v>496</v>
      </c>
      <c r="CS7" s="47" t="s">
        <v>394</v>
      </c>
      <c r="CT7" s="47" t="s">
        <v>395</v>
      </c>
      <c r="CU7" s="47" t="s">
        <v>396</v>
      </c>
      <c r="CV7" s="160" t="s">
        <v>41</v>
      </c>
      <c r="CW7" s="403"/>
      <c r="CX7" s="240" t="s">
        <v>495</v>
      </c>
      <c r="CY7" s="47" t="s">
        <v>496</v>
      </c>
      <c r="CZ7" s="47" t="s">
        <v>394</v>
      </c>
      <c r="DA7" s="47" t="s">
        <v>395</v>
      </c>
      <c r="DB7" s="47" t="s">
        <v>396</v>
      </c>
      <c r="DC7" s="160" t="s">
        <v>41</v>
      </c>
      <c r="DD7" s="403"/>
      <c r="DE7" s="240" t="s">
        <v>495</v>
      </c>
      <c r="DF7" s="47" t="s">
        <v>496</v>
      </c>
      <c r="DG7" s="47" t="s">
        <v>394</v>
      </c>
      <c r="DH7" s="47" t="s">
        <v>395</v>
      </c>
      <c r="DI7" s="47" t="s">
        <v>396</v>
      </c>
      <c r="DJ7" s="160" t="s">
        <v>41</v>
      </c>
      <c r="DK7" s="403"/>
      <c r="DL7" s="240" t="s">
        <v>495</v>
      </c>
      <c r="DM7" s="47" t="s">
        <v>496</v>
      </c>
      <c r="DN7" s="47" t="s">
        <v>394</v>
      </c>
      <c r="DO7" s="47" t="s">
        <v>395</v>
      </c>
      <c r="DP7" s="47" t="s">
        <v>396</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2020</v>
      </c>
      <c r="F3" s="121">
        <f>E3-1</f>
        <v>-1</v>
      </c>
    </row>
    <row r="4" spans="1:77" x14ac:dyDescent="0.2">
      <c r="B4" s="182" t="s">
        <v>425</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500</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7" t="s">
        <v>499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X7" activePane="bottomRight" state="frozen"/>
      <selection activeCell="G33" sqref="G33"/>
      <selection pane="topRight" activeCell="G33" sqref="G33"/>
      <selection pane="bottomLeft" activeCell="G33" sqref="G33"/>
      <selection pane="bottomRight" activeCell="AG23" sqref="AG23"/>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הגמלאות המרכזית של עובדי ההסתדרות בע"מ</v>
      </c>
    </row>
    <row r="3" spans="1:39" ht="15.75" x14ac:dyDescent="0.25">
      <c r="B3" s="183" t="str">
        <f>CONCATENATE(הוראות!Z13,הוראות!F13)</f>
        <v>הנתונים ביחידות בודדות לשנת 2020</v>
      </c>
    </row>
    <row r="4" spans="1:39" ht="12.75" customHeight="1" x14ac:dyDescent="0.2">
      <c r="B4" s="182" t="s">
        <v>425</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404" t="s">
        <v>142</v>
      </c>
      <c r="AF4" s="405"/>
      <c r="AG4" s="405"/>
      <c r="AH4" s="405"/>
      <c r="AI4" s="405"/>
      <c r="AJ4" s="405"/>
      <c r="AK4" s="406"/>
    </row>
    <row r="5" spans="1:39" x14ac:dyDescent="0.2">
      <c r="B5" s="159"/>
      <c r="C5" s="460" t="s">
        <v>96</v>
      </c>
      <c r="D5" s="411"/>
      <c r="E5" s="411"/>
      <c r="F5" s="411"/>
      <c r="G5" s="411"/>
      <c r="H5" s="411"/>
      <c r="I5" s="412"/>
      <c r="J5" s="460" t="s">
        <v>97</v>
      </c>
      <c r="K5" s="411"/>
      <c r="L5" s="411"/>
      <c r="M5" s="411"/>
      <c r="N5" s="411"/>
      <c r="O5" s="411"/>
      <c r="P5" s="412"/>
      <c r="Q5" s="460" t="s">
        <v>96</v>
      </c>
      <c r="R5" s="411"/>
      <c r="S5" s="411"/>
      <c r="T5" s="411"/>
      <c r="U5" s="411"/>
      <c r="V5" s="411"/>
      <c r="W5" s="412"/>
      <c r="X5" s="460" t="s">
        <v>97</v>
      </c>
      <c r="Y5" s="411"/>
      <c r="Z5" s="411"/>
      <c r="AA5" s="411"/>
      <c r="AB5" s="411"/>
      <c r="AC5" s="411"/>
      <c r="AD5" s="412"/>
      <c r="AE5" s="459"/>
      <c r="AF5" s="409"/>
      <c r="AG5" s="409"/>
      <c r="AH5" s="409"/>
      <c r="AI5" s="409"/>
      <c r="AJ5" s="409"/>
      <c r="AK5" s="410"/>
    </row>
    <row r="6" spans="1:39" ht="12.75" customHeight="1" x14ac:dyDescent="0.2">
      <c r="A6" s="159"/>
      <c r="B6" s="159"/>
      <c r="C6" s="458" t="s">
        <v>32</v>
      </c>
      <c r="D6" s="400" t="s">
        <v>33</v>
      </c>
      <c r="E6" s="400"/>
      <c r="F6" s="400"/>
      <c r="G6" s="400"/>
      <c r="H6" s="400"/>
      <c r="I6" s="401"/>
      <c r="J6" s="458" t="str">
        <f>C6</f>
        <v>סה"כ מספר תביעות</v>
      </c>
      <c r="K6" s="400" t="s">
        <v>33</v>
      </c>
      <c r="L6" s="400"/>
      <c r="M6" s="400"/>
      <c r="N6" s="400"/>
      <c r="O6" s="400"/>
      <c r="P6" s="401"/>
      <c r="Q6" s="458" t="str">
        <f>C6</f>
        <v>סה"כ מספר תביעות</v>
      </c>
      <c r="R6" s="400" t="s">
        <v>33</v>
      </c>
      <c r="S6" s="400"/>
      <c r="T6" s="400"/>
      <c r="U6" s="400"/>
      <c r="V6" s="400"/>
      <c r="W6" s="401"/>
      <c r="X6" s="458" t="str">
        <f>Q6</f>
        <v>סה"כ מספר תביעות</v>
      </c>
      <c r="Y6" s="400" t="s">
        <v>33</v>
      </c>
      <c r="Z6" s="400"/>
      <c r="AA6" s="400"/>
      <c r="AB6" s="400"/>
      <c r="AC6" s="400"/>
      <c r="AD6" s="401"/>
      <c r="AE6" s="458" t="str">
        <f>X6</f>
        <v>סה"כ מספר תביעות</v>
      </c>
      <c r="AF6" s="400" t="s">
        <v>33</v>
      </c>
      <c r="AG6" s="400"/>
      <c r="AH6" s="400"/>
      <c r="AI6" s="400"/>
      <c r="AJ6" s="400"/>
      <c r="AK6" s="401"/>
    </row>
    <row r="7" spans="1:39"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279</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348</v>
      </c>
      <c r="AF10" s="179"/>
      <c r="AG10" s="177"/>
      <c r="AH10" s="177"/>
      <c r="AI10" s="177"/>
      <c r="AJ10" s="177"/>
      <c r="AK10" s="178"/>
    </row>
    <row r="11" spans="1:39" ht="12.75" customHeight="1" x14ac:dyDescent="0.2">
      <c r="A11" s="166">
        <f>A10+1</f>
        <v>2</v>
      </c>
      <c r="B11" s="167" t="s">
        <v>75</v>
      </c>
      <c r="C11" s="318">
        <v>330</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344</v>
      </c>
      <c r="AF11" s="179"/>
      <c r="AG11" s="177"/>
      <c r="AH11" s="177"/>
      <c r="AI11" s="177"/>
      <c r="AJ11" s="177"/>
      <c r="AK11" s="178"/>
    </row>
    <row r="12" spans="1:39" x14ac:dyDescent="0.2">
      <c r="A12" s="166">
        <v>3</v>
      </c>
      <c r="B12" s="167" t="s">
        <v>498</v>
      </c>
      <c r="C12" s="250">
        <f>SUM(D12:I12)</f>
        <v>381</v>
      </c>
      <c r="D12" s="314">
        <v>214</v>
      </c>
      <c r="E12" s="308">
        <v>40</v>
      </c>
      <c r="F12" s="314">
        <v>71</v>
      </c>
      <c r="G12" s="314">
        <v>42</v>
      </c>
      <c r="H12" s="314">
        <v>8</v>
      </c>
      <c r="I12" s="315">
        <v>6</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469</v>
      </c>
      <c r="AF12" s="314">
        <v>59</v>
      </c>
      <c r="AG12" s="308">
        <v>223</v>
      </c>
      <c r="AH12" s="314">
        <v>168</v>
      </c>
      <c r="AI12" s="314">
        <v>17</v>
      </c>
      <c r="AJ12" s="314">
        <v>2</v>
      </c>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6</v>
      </c>
      <c r="D14" s="314">
        <v>2</v>
      </c>
      <c r="E14" s="308"/>
      <c r="F14" s="314">
        <v>2</v>
      </c>
      <c r="G14" s="314">
        <v>2</v>
      </c>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4</v>
      </c>
      <c r="AF14" s="314"/>
      <c r="AG14" s="308">
        <v>1</v>
      </c>
      <c r="AH14" s="314">
        <v>2</v>
      </c>
      <c r="AI14" s="314">
        <v>1</v>
      </c>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387</v>
      </c>
      <c r="D17" s="233">
        <f t="shared" si="0"/>
        <v>216</v>
      </c>
      <c r="E17" s="32">
        <f t="shared" si="0"/>
        <v>40</v>
      </c>
      <c r="F17" s="29">
        <f t="shared" si="0"/>
        <v>73</v>
      </c>
      <c r="G17" s="29">
        <f t="shared" si="0"/>
        <v>44</v>
      </c>
      <c r="H17" s="29">
        <f t="shared" si="0"/>
        <v>8</v>
      </c>
      <c r="I17" s="33">
        <f t="shared" si="0"/>
        <v>6</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473</v>
      </c>
      <c r="AF17" s="31">
        <f t="shared" si="0"/>
        <v>59</v>
      </c>
      <c r="AG17" s="32">
        <f t="shared" si="0"/>
        <v>224</v>
      </c>
      <c r="AH17" s="29">
        <f t="shared" ref="AH17" si="1">SUM(AH12:AH16)</f>
        <v>170</v>
      </c>
      <c r="AI17" s="29">
        <f>SUM(AI12:AI16)</f>
        <v>18</v>
      </c>
      <c r="AJ17" s="29">
        <f>SUM(AJ12:AJ16)</f>
        <v>2</v>
      </c>
      <c r="AK17" s="180">
        <f>SUM(AK12:AK16)</f>
        <v>0</v>
      </c>
    </row>
    <row r="18" spans="1:37" x14ac:dyDescent="0.2">
      <c r="A18" s="166">
        <v>8</v>
      </c>
      <c r="B18" s="167" t="s">
        <v>524</v>
      </c>
      <c r="C18" s="250">
        <f>IF(C10+C11-C17=0,0,C10+C11-C17)</f>
        <v>222</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219</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13</v>
      </c>
      <c r="AF24" s="314"/>
      <c r="AG24" s="308">
        <v>2</v>
      </c>
      <c r="AH24" s="314">
        <v>1</v>
      </c>
      <c r="AI24" s="314">
        <v>7</v>
      </c>
      <c r="AJ24" s="314">
        <v>1</v>
      </c>
      <c r="AK24" s="315">
        <v>2</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1</v>
      </c>
      <c r="AF27" s="314"/>
      <c r="AG27" s="308">
        <v>1</v>
      </c>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14</v>
      </c>
      <c r="AF28" s="35">
        <f t="shared" si="5"/>
        <v>0</v>
      </c>
      <c r="AG28" s="36">
        <f t="shared" ref="AG28" si="6">SUM(AG24:AG27)</f>
        <v>3</v>
      </c>
      <c r="AH28" s="36">
        <f>SUM(AH24:AH27)</f>
        <v>1</v>
      </c>
      <c r="AI28" s="36">
        <f>SUM(AI24:AI27)</f>
        <v>7</v>
      </c>
      <c r="AJ28" s="36">
        <f>SUM(AJ24:AJ27)</f>
        <v>1</v>
      </c>
      <c r="AK28" s="38">
        <f>SUM(AK24:AK27)</f>
        <v>2</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0.98449612403100772</v>
      </c>
      <c r="D35" s="235">
        <f>IF((' פנסיוני א3'!D12+' פנסיוני א3'!K12)=0,0,(' פנסיוני א3'!D12+' פנסיוני א3'!K12)/(' פנסיוני א3'!$C$17+' פנסיוני א3'!$J$17))</f>
        <v>0.55297157622739013</v>
      </c>
      <c r="E35" s="235">
        <f>IF((' פנסיוני א3'!E12+' פנסיוני א3'!L12)=0,0,(' פנסיוני א3'!E12+' פנסיוני א3'!L12)/(' פנסיוני א3'!$C$17+' פנסיוני א3'!$J$17))</f>
        <v>0.10335917312661498</v>
      </c>
      <c r="F35" s="235">
        <f>IF((' פנסיוני א3'!F12+' פנסיוני א3'!M12)=0,0,(' פנסיוני א3'!F12+' פנסיוני א3'!M12)/(' פנסיוני א3'!$C$17+' פנסיוני א3'!$J$17))</f>
        <v>0.1834625322997416</v>
      </c>
      <c r="G35" s="235">
        <f>IF((' פנסיוני א3'!G12+' פנסיוני א3'!N12)=0,0,(' פנסיוני א3'!G12+' פנסיוני א3'!N12)/(' פנסיוני א3'!$C$17+' פנסיוני א3'!$J$17))</f>
        <v>0.10852713178294573</v>
      </c>
      <c r="H35" s="235">
        <f>IF((' פנסיוני א3'!H12+' פנסיוני א3'!O12)=0,0,(' פנסיוני א3'!H12+' פנסיוני א3'!O12)/(' פנסיוני א3'!$C$17+' פנסיוני א3'!$J$17))</f>
        <v>2.0671834625322998E-2</v>
      </c>
      <c r="I35" s="235">
        <f>IF((' פנסיוני א3'!I12+' פנסיוני א3'!P12)=0,0,(' פנסיוני א3'!I12+' פנסיוני א3'!P12)/(' פנסיוני א3'!$C$17+' פנסיוני א3'!$J$17))</f>
        <v>1.5503875968992248E-2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0.9915433403805497</v>
      </c>
      <c r="R35" s="235">
        <f>IF(' פנסיוני א3'!AF12=0,0,' פנסיוני א3'!AF12/' פנסיוני א3'!$AE$17)</f>
        <v>0.12473572938689217</v>
      </c>
      <c r="S35" s="235">
        <f>IF(' פנסיוני א3'!AG12=0,0,' פנסיוני א3'!AG12/' פנסיוני א3'!$AE$17)</f>
        <v>0.47145877378435519</v>
      </c>
      <c r="T35" s="235">
        <f>IF(' פנסיוני א3'!AH12=0,0,' פנסיוני א3'!AH12/' פנסיוני א3'!$AE$17)</f>
        <v>0.35517970401691334</v>
      </c>
      <c r="U35" s="235">
        <f>IF(' פנסיוני א3'!AI12=0,0,' פנסיוני א3'!AI12/' פנסיוני א3'!$AE$17)</f>
        <v>3.5940803382663845E-2</v>
      </c>
      <c r="V35" s="235">
        <f>IF(' פנסיוני א3'!AJ12=0,0,' פנסיוני א3'!AJ12/' פנסיוני א3'!$AE$17)</f>
        <v>4.2283298097251587E-3</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1.5503875968992248E-2</v>
      </c>
      <c r="D37" s="79">
        <f>IF((' פנסיוני א3'!D14+' פנסיוני א3'!K14)=0,0,(' פנסיוני א3'!D14+' פנסיוני א3'!K14)/(' פנסיוני א3'!$C$17+' פנסיוני א3'!$J$17))</f>
        <v>5.1679586563307496E-3</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5.1679586563307496E-3</v>
      </c>
      <c r="G37" s="79">
        <f>IF((' פנסיוני א3'!G14+' פנסיוני א3'!N14)=0,0,(' פנסיוני א3'!G14+' פנסיוני א3'!N14)/(' פנסיוני א3'!$C$17+' פנסיוני א3'!$J$17))</f>
        <v>5.1679586563307496E-3</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8.4566596194503175E-3</v>
      </c>
      <c r="R37" s="79">
        <f>IF(' פנסיוני א3'!AF14=0,0,' פנסיוני א3'!AF14/' פנסיוני א3'!$AE$17)</f>
        <v>0</v>
      </c>
      <c r="S37" s="79">
        <f>IF(' פנסיוני א3'!AG14=0,0,' פנסיוני א3'!AG14/' פנסיוני א3'!$AE$17)</f>
        <v>2.1141649048625794E-3</v>
      </c>
      <c r="T37" s="79">
        <f>IF(' פנסיוני א3'!AH14=0,0,' פנסיוני א3'!AH14/' פנסיוני א3'!$AE$17)</f>
        <v>4.2283298097251587E-3</v>
      </c>
      <c r="U37" s="79">
        <f>IF(' פנסיוני א3'!AI14=0,0,' פנסיוני א3'!AI14/' פנסיוני א3'!$AE$17)</f>
        <v>2.1141649048625794E-3</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0.55813953488372092</v>
      </c>
      <c r="E40" s="237">
        <f t="shared" si="7"/>
        <v>0.10335917312661498</v>
      </c>
      <c r="F40" s="237">
        <f t="shared" si="7"/>
        <v>0.18863049095607234</v>
      </c>
      <c r="G40" s="237">
        <f t="shared" si="7"/>
        <v>0.11369509043927649</v>
      </c>
      <c r="H40" s="237">
        <f t="shared" si="7"/>
        <v>2.0671834625322998E-2</v>
      </c>
      <c r="I40" s="238">
        <f t="shared" si="7"/>
        <v>1.5503875968992248E-2</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0.12473572938689217</v>
      </c>
      <c r="S40" s="237">
        <f t="shared" si="9"/>
        <v>0.47357293868921779</v>
      </c>
      <c r="T40" s="237">
        <f t="shared" si="9"/>
        <v>0.3594080338266385</v>
      </c>
      <c r="U40" s="237">
        <f t="shared" si="9"/>
        <v>3.8054968287526428E-2</v>
      </c>
      <c r="V40" s="237">
        <f t="shared" si="9"/>
        <v>4.2283298097251587E-3</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0.9285714285714286</v>
      </c>
      <c r="R46" s="79">
        <f>IF(' פנסיוני א3'!AF24=0,0,' פנסיוני א3'!AF24/' פנסיוני א3'!$AE$28)</f>
        <v>0</v>
      </c>
      <c r="S46" s="79">
        <f>IF(' פנסיוני א3'!AG24=0,0,' פנסיוני א3'!AG24/' פנסיוני א3'!$AE$28)</f>
        <v>0.14285714285714285</v>
      </c>
      <c r="T46" s="79">
        <f>IF(' פנסיוני א3'!AH24=0,0,' פנסיוני א3'!AH24/' פנסיוני א3'!$AE$28)</f>
        <v>7.1428571428571425E-2</v>
      </c>
      <c r="U46" s="79">
        <f>IF(' פנסיוני א3'!AI24=0,0,' פנסיוני א3'!AI24/' פנסיוני א3'!$AE$28)</f>
        <v>0.5</v>
      </c>
      <c r="V46" s="79">
        <f>IF(' פנסיוני א3'!AJ24=0,0,' פנסיוני א3'!AJ24/' פנסיוני א3'!$AE$28)</f>
        <v>7.1428571428571425E-2</v>
      </c>
      <c r="W46" s="81">
        <f>IF(' פנסיוני א3'!AK24=0,0,' פנסיוני א3'!AK24/' פנסיוני א3'!$AE$28)</f>
        <v>0.14285714285714285</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7.1428571428571425E-2</v>
      </c>
      <c r="R49" s="79">
        <f>IF(' פנסיוני א3'!AF27=0,0,' פנסיוני א3'!AF27/' פנסיוני א3'!$AE$28)</f>
        <v>0</v>
      </c>
      <c r="S49" s="79">
        <f>IF(' פנסיוני א3'!AG27=0,0,' פנסיוני א3'!AG27/' פנסיוני א3'!$AE$28)</f>
        <v>7.1428571428571425E-2</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0.21428571428571427</v>
      </c>
      <c r="T50" s="103">
        <f t="shared" si="11"/>
        <v>7.1428571428571425E-2</v>
      </c>
      <c r="U50" s="103">
        <f t="shared" si="11"/>
        <v>0.5</v>
      </c>
      <c r="V50" s="103">
        <f t="shared" si="11"/>
        <v>7.1428571428571425E-2</v>
      </c>
      <c r="W50" s="102">
        <f t="shared" si="11"/>
        <v>0.14285714285714285</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הגמלאות המרכזית של עובדי ההסתדרות בע"מ</v>
      </c>
    </row>
    <row r="3" spans="1:28"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500</v>
      </c>
      <c r="C11" s="438"/>
      <c r="D11" s="439"/>
      <c r="E11" s="234">
        <f>SUM(F11:K11)</f>
        <v>0.98449612403100772</v>
      </c>
      <c r="F11" s="235">
        <f>IF((' פנסיוני א3'!D12+' פנסיוני א3'!K12)=0,0,(' פנסיוני א3'!D12+' פנסיוני א3'!K12)/(' פנסיוני א3'!$C$17+' פנסיוני א3'!$J$17))</f>
        <v>0.55297157622739013</v>
      </c>
      <c r="G11" s="235">
        <f>IF((' פנסיוני א3'!E12+' פנסיוני א3'!L12)=0,0,(' פנסיוני א3'!E12+' פנסיוני א3'!L12)/(' פנסיוני א3'!$C$17+' פנסיוני א3'!$J$17))</f>
        <v>0.10335917312661498</v>
      </c>
      <c r="H11" s="235">
        <f>IF((' פנסיוני א3'!F12+' פנסיוני א3'!M12)=0,0,(' פנסיוני א3'!F12+' פנסיוני א3'!M12)/(' פנסיוני א3'!$C$17+' פנסיוני א3'!$J$17))</f>
        <v>0.1834625322997416</v>
      </c>
      <c r="I11" s="235">
        <f>IF((' פנסיוני א3'!G12+' פנסיוני א3'!N12)=0,0,(' פנסיוני א3'!G12+' פנסיוני א3'!N12)/(' פנסיוני א3'!$C$17+' פנסיוני א3'!$J$17))</f>
        <v>0.10852713178294573</v>
      </c>
      <c r="J11" s="235">
        <f>IF((' פנסיוני א3'!H12+' פנסיוני א3'!O12)=0,0,(' פנסיוני א3'!H12+' פנסיוני א3'!O12)/(' פנסיוני א3'!$C$17+' פנסיוני א3'!$J$17))</f>
        <v>2.0671834625322998E-2</v>
      </c>
      <c r="K11" s="235">
        <f>IF((' פנסיוני א3'!I12+' פנסיוני א3'!P12)=0,0,(' פנסיוני א3'!I12+' פנסיוני א3'!P12)/(' פנסיוני א3'!$C$17+' פנסיוני א3'!$J$17))</f>
        <v>1.5503875968992248E-2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0.9915433403805497</v>
      </c>
      <c r="T11" s="235">
        <f>IF(' פנסיוני א3'!AF12=0,0,' פנסיוני א3'!AF12/' פנסיוני א3'!$AE$17)</f>
        <v>0.12473572938689217</v>
      </c>
      <c r="U11" s="235">
        <f>IF(' פנסיוני א3'!AG12=0,0,' פנסיוני א3'!AG12/' פנסיוני א3'!$AE$17)</f>
        <v>0.47145877378435519</v>
      </c>
      <c r="V11" s="235">
        <f>IF(' פנסיוני א3'!AH12=0,0,' פנסיוני א3'!AH12/' פנסיוני א3'!$AE$17)</f>
        <v>0.35517970401691334</v>
      </c>
      <c r="W11" s="235">
        <f>IF(' פנסיוני א3'!AI12=0,0,' פנסיוני א3'!AI12/' פנסיוני א3'!$AE$17)</f>
        <v>3.5940803382663845E-2</v>
      </c>
      <c r="X11" s="235">
        <f>IF(' פנסיוני א3'!AJ12=0,0,' פנסיוני א3'!AJ12/' פנסיוני א3'!$AE$17)</f>
        <v>4.2283298097251587E-3</v>
      </c>
      <c r="Y11" s="239">
        <f>IF(' פנסיוני א3'!AK12=0,0,' פנסיוני א3'!AK12/' פנסיוני א3'!$AE$17)</f>
        <v>0</v>
      </c>
    </row>
    <row r="12" spans="1:28" x14ac:dyDescent="0.2">
      <c r="A12" s="300" t="s">
        <v>522</v>
      </c>
      <c r="B12" s="437" t="s">
        <v>499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1.5503875968992248E-2</v>
      </c>
      <c r="F13" s="79">
        <f>IF((' פנסיוני א3'!D14+' פנסיוני א3'!K14)=0,0,(' פנסיוני א3'!D14+' פנסיוני א3'!K14)/(' פנסיוני א3'!$C$17+' פנסיוני א3'!$J$17))</f>
        <v>5.1679586563307496E-3</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5.1679586563307496E-3</v>
      </c>
      <c r="I13" s="79">
        <f>IF((' פנסיוני א3'!G14+' פנסיוני א3'!N14)=0,0,(' פנסיוני א3'!G14+' פנסיוני א3'!N14)/(' פנסיוני א3'!$C$17+' פנסיוני א3'!$J$17))</f>
        <v>5.1679586563307496E-3</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8.4566596194503175E-3</v>
      </c>
      <c r="T13" s="79">
        <f>IF(' פנסיוני א3'!AF14=0,0,' פנסיוני א3'!AF14/' פנסיוני א3'!$AE$17)</f>
        <v>0</v>
      </c>
      <c r="U13" s="79">
        <f>IF(' פנסיוני א3'!AG14=0,0,' פנסיוני א3'!AG14/' פנסיוני א3'!$AE$17)</f>
        <v>2.1141649048625794E-3</v>
      </c>
      <c r="V13" s="79">
        <f>IF(' פנסיוני א3'!AH14=0,0,' פנסיוני א3'!AH14/' פנסיוני א3'!$AE$17)</f>
        <v>4.2283298097251587E-3</v>
      </c>
      <c r="W13" s="79">
        <f>IF(' פנסיוני א3'!AI14=0,0,' פנסיוני א3'!AI14/' פנסיוני א3'!$AE$17)</f>
        <v>2.1141649048625794E-3</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0.55813953488372092</v>
      </c>
      <c r="G16" s="237">
        <f t="shared" si="0"/>
        <v>0.10335917312661498</v>
      </c>
      <c r="H16" s="237">
        <f t="shared" si="0"/>
        <v>0.18863049095607234</v>
      </c>
      <c r="I16" s="237">
        <f t="shared" si="0"/>
        <v>0.11369509043927649</v>
      </c>
      <c r="J16" s="237">
        <f t="shared" si="0"/>
        <v>2.0671834625322998E-2</v>
      </c>
      <c r="K16" s="238">
        <f t="shared" si="0"/>
        <v>1.5503875968992248E-2</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0.12473572938689217</v>
      </c>
      <c r="U16" s="237">
        <f t="shared" si="2"/>
        <v>0.47357293868921779</v>
      </c>
      <c r="V16" s="237">
        <f t="shared" si="2"/>
        <v>0.3594080338266385</v>
      </c>
      <c r="W16" s="237">
        <f t="shared" si="2"/>
        <v>3.8054968287526428E-2</v>
      </c>
      <c r="X16" s="237">
        <f t="shared" si="2"/>
        <v>4.2283298097251587E-3</v>
      </c>
      <c r="Y16" s="238">
        <f t="shared" si="2"/>
        <v>0</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446</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0.9285714285714286</v>
      </c>
      <c r="T22" s="79">
        <f>IF(' פנסיוני א3'!AF24=0,0,' פנסיוני א3'!AF24/' פנסיוני א3'!$AE$28)</f>
        <v>0</v>
      </c>
      <c r="U22" s="79">
        <f>IF(' פנסיוני א3'!AG24=0,0,' פנסיוני א3'!AG24/' פנסיוני א3'!$AE$28)</f>
        <v>0.14285714285714285</v>
      </c>
      <c r="V22" s="79">
        <f>IF(' פנסיוני א3'!AH24=0,0,' פנסיוני א3'!AH24/' פנסיוני א3'!$AE$28)</f>
        <v>7.1428571428571425E-2</v>
      </c>
      <c r="W22" s="79">
        <f>IF(' פנסיוני א3'!AI24=0,0,' פנסיוני א3'!AI24/' פנסיוני א3'!$AE$28)</f>
        <v>0.5</v>
      </c>
      <c r="X22" s="79">
        <f>IF(' פנסיוני א3'!AJ24=0,0,' פנסיוני א3'!AJ24/' פנסיוני א3'!$AE$28)</f>
        <v>7.1428571428571425E-2</v>
      </c>
      <c r="Y22" s="81">
        <f>IF(' פנסיוני א3'!AK24=0,0,' פנסיוני א3'!AK24/' פנסיוני א3'!$AE$28)</f>
        <v>0.14285714285714285</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6" t="s">
        <v>85</v>
      </c>
      <c r="C25" s="467"/>
      <c r="D25" s="47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7.1428571428571425E-2</v>
      </c>
      <c r="T25" s="79">
        <f>IF(' פנסיוני א3'!AF27=0,0,' פנסיוני א3'!AF27/' פנסיוני א3'!$AE$28)</f>
        <v>0</v>
      </c>
      <c r="U25" s="79">
        <f>IF(' פנסיוני א3'!AG27=0,0,' פנסיוני א3'!AG27/' פנסיוני א3'!$AE$28)</f>
        <v>7.1428571428571425E-2</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2" t="s">
        <v>86</v>
      </c>
      <c r="C26" s="473"/>
      <c r="D26" s="47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0.21428571428571427</v>
      </c>
      <c r="V26" s="103">
        <f t="shared" si="5"/>
        <v>7.1428571428571425E-2</v>
      </c>
      <c r="W26" s="103">
        <f t="shared" si="5"/>
        <v>0.5</v>
      </c>
      <c r="X26" s="103">
        <f t="shared" si="5"/>
        <v>7.1428571428571425E-2</v>
      </c>
      <c r="Y26" s="102">
        <f t="shared" si="5"/>
        <v>0.14285714285714285</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terms/"/>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a46656d4-8850-49b3-aebd-68bd05f7f43d"/>
    <ds:schemaRef ds:uri="http://schemas.microsoft.com/sharepoint/v3"/>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יוסי ויצמן</cp:lastModifiedBy>
  <cp:lastPrinted>2016-06-28T14:16:06Z</cp:lastPrinted>
  <dcterms:created xsi:type="dcterms:W3CDTF">2012-03-26T09:12:08Z</dcterms:created>
  <dcterms:modified xsi:type="dcterms:W3CDTF">2021-02-10T09:36:41Z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