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W48" i="5"/>
  <c r="S49" i="5"/>
  <c r="T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6" i="5"/>
  <c r="T36" i="5"/>
  <c r="U36" i="5"/>
  <c r="V36" i="5"/>
  <c r="W36" i="5"/>
  <c r="V37" i="5"/>
  <c r="W37" i="5"/>
  <c r="S38" i="5"/>
  <c r="T38" i="5"/>
  <c r="U38" i="5"/>
  <c r="V38" i="5"/>
  <c r="W38" i="5"/>
  <c r="S39" i="5"/>
  <c r="U39" i="5"/>
  <c r="V39" i="5"/>
  <c r="W39" i="5"/>
  <c r="R36" i="5"/>
  <c r="R38"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6" i="5"/>
  <c r="C27" i="5"/>
  <c r="E46" i="5"/>
  <c r="F46" i="5"/>
  <c r="G46" i="5"/>
  <c r="H46" i="5"/>
  <c r="I46" i="5"/>
  <c r="E47" i="5"/>
  <c r="F47" i="5"/>
  <c r="G47" i="5"/>
  <c r="H47" i="5"/>
  <c r="I47" i="5"/>
  <c r="F48" i="5"/>
  <c r="G48" i="5"/>
  <c r="H48" i="5"/>
  <c r="E49" i="5"/>
  <c r="F49" i="5"/>
  <c r="D47" i="5"/>
  <c r="D48" i="5"/>
  <c r="D49" i="5"/>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E38" i="5"/>
  <c r="F38" i="5"/>
  <c r="G38" i="5"/>
  <c r="H38" i="5"/>
  <c r="I38" i="5"/>
  <c r="D36" i="5"/>
  <c r="D38"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2" i="26"/>
  <c r="F21" i="26"/>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H21" i="26"/>
  <c r="G23" i="26"/>
  <c r="I22"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T23" i="26"/>
  <c r="V22" i="26"/>
  <c r="S23" i="26"/>
  <c r="U22" i="26"/>
  <c r="V23" i="26"/>
  <c r="T22" i="26"/>
  <c r="S24" i="26"/>
  <c r="S22" i="26"/>
  <c r="N24" i="26"/>
  <c r="N23" i="26"/>
  <c r="N22" i="26"/>
  <c r="N21" i="26"/>
  <c r="M24" i="26"/>
  <c r="M23" i="26"/>
  <c r="M22" i="26"/>
  <c r="K22" i="26" s="1"/>
  <c r="K25" i="26" s="1"/>
  <c r="M21" i="26"/>
  <c r="P24" i="26"/>
  <c r="P23" i="26"/>
  <c r="P22" i="26"/>
  <c r="P21" i="26"/>
  <c r="O24" i="26"/>
  <c r="O23" i="26"/>
  <c r="O22" i="26"/>
  <c r="O25" i="26" s="1"/>
  <c r="O21" i="26"/>
  <c r="I23" i="26"/>
  <c r="H22" i="26"/>
  <c r="G21" i="26"/>
  <c r="J22" i="26"/>
  <c r="I21" i="26"/>
  <c r="G24" i="26"/>
  <c r="V19" i="26"/>
  <c r="R19" i="26"/>
  <c r="P18" i="26"/>
  <c r="P17" i="26"/>
  <c r="O18" i="26"/>
  <c r="N18" i="26"/>
  <c r="N17" i="26"/>
  <c r="M18" i="26"/>
  <c r="M17" i="26"/>
  <c r="O17" i="26"/>
  <c r="O19" i="26" s="1"/>
  <c r="T14" i="26"/>
  <c r="S13" i="26"/>
  <c r="U12" i="26"/>
  <c r="V13" i="26"/>
  <c r="V14" i="26"/>
  <c r="U13" i="26"/>
  <c r="U14" i="26"/>
  <c r="T13" i="26"/>
  <c r="V12" i="26"/>
  <c r="N14" i="26"/>
  <c r="O13" i="26"/>
  <c r="H18" i="26"/>
  <c r="J17" i="26"/>
  <c r="H17" i="26"/>
  <c r="G18" i="26"/>
  <c r="I17" i="26"/>
  <c r="J18" i="26"/>
  <c r="I18" i="26"/>
  <c r="G17" i="26"/>
  <c r="G13" i="26"/>
  <c r="F13" i="26"/>
  <c r="J13" i="26"/>
  <c r="I13"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2" i="10"/>
  <c r="V12" i="10"/>
  <c r="W12" i="10"/>
  <c r="X12" i="10"/>
  <c r="Y12" i="10"/>
  <c r="X13" i="10"/>
  <c r="Y13" i="10"/>
  <c r="U14" i="10"/>
  <c r="V14" i="10"/>
  <c r="W14" i="10"/>
  <c r="X14" i="10"/>
  <c r="Y14" i="10"/>
  <c r="U15" i="10"/>
  <c r="W15" i="10"/>
  <c r="X15" i="10"/>
  <c r="Y15" i="10"/>
  <c r="Y19" i="10"/>
  <c r="X19" i="10"/>
  <c r="W19" i="10"/>
  <c r="V19" i="10"/>
  <c r="U19" i="10"/>
  <c r="T19" i="10"/>
  <c r="Y18" i="10"/>
  <c r="Y20" i="10" s="1"/>
  <c r="X18" i="10"/>
  <c r="W18" i="10"/>
  <c r="W20" i="10"/>
  <c r="V18" i="10"/>
  <c r="U18" i="10"/>
  <c r="S18" i="10" s="1"/>
  <c r="V25" i="10"/>
  <c r="U25" i="10"/>
  <c r="T25" i="10"/>
  <c r="Y24" i="10"/>
  <c r="W24" i="10"/>
  <c r="V24" i="10"/>
  <c r="U24" i="10"/>
  <c r="T24" i="10"/>
  <c r="Y23" i="10"/>
  <c r="X23" i="10"/>
  <c r="W23" i="10"/>
  <c r="V23" i="10"/>
  <c r="U23" i="10"/>
  <c r="T23" i="10"/>
  <c r="T20" i="10"/>
  <c r="T12" i="10"/>
  <c r="T14"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H25" i="10"/>
  <c r="G25" i="10"/>
  <c r="F25" i="10"/>
  <c r="I24" i="10"/>
  <c r="H24" i="10"/>
  <c r="F24" i="10"/>
  <c r="K23" i="10"/>
  <c r="J23" i="10"/>
  <c r="I23" i="10"/>
  <c r="H23" i="10"/>
  <c r="G23" i="10"/>
  <c r="E23" i="10" s="1"/>
  <c r="F23" i="10"/>
  <c r="K22" i="10"/>
  <c r="J22" i="10"/>
  <c r="I22" i="10"/>
  <c r="H22" i="10"/>
  <c r="G22" i="10"/>
  <c r="K19" i="10"/>
  <c r="J19" i="10"/>
  <c r="J20" i="10" s="1"/>
  <c r="I19" i="10"/>
  <c r="H19" i="10"/>
  <c r="G19" i="10"/>
  <c r="F19" i="10"/>
  <c r="F20" i="10" s="1"/>
  <c r="K18" i="10"/>
  <c r="J18" i="10"/>
  <c r="I18" i="10"/>
  <c r="I20" i="10"/>
  <c r="H18" i="10"/>
  <c r="H20" i="10"/>
  <c r="G18" i="10"/>
  <c r="G12" i="10"/>
  <c r="H12" i="10"/>
  <c r="I12" i="10"/>
  <c r="J12" i="10"/>
  <c r="K12" i="10"/>
  <c r="G14" i="10"/>
  <c r="H14" i="10"/>
  <c r="I14" i="10"/>
  <c r="J14" i="10"/>
  <c r="K14" i="10"/>
  <c r="F12" i="10"/>
  <c r="F14"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G10" i="19" s="1"/>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H10" i="11"/>
  <c r="D10" i="11"/>
  <c r="C10" i="11"/>
  <c r="F10" i="11"/>
  <c r="G10" i="11"/>
  <c r="I10" i="11"/>
  <c r="O10" i="19"/>
  <c r="J10" i="19"/>
  <c r="M10" i="19"/>
  <c r="K10" i="19"/>
  <c r="N10" i="19"/>
  <c r="P10" i="19"/>
  <c r="F10" i="19"/>
  <c r="K15" i="8"/>
  <c r="I15" i="8"/>
  <c r="H15" i="8"/>
  <c r="K14" i="8"/>
  <c r="J15" i="8"/>
  <c r="I14" i="8"/>
  <c r="J14" i="8"/>
  <c r="H13" i="8"/>
  <c r="J13" i="8"/>
  <c r="I13" i="8"/>
  <c r="K13" i="8"/>
  <c r="T10" i="21"/>
  <c r="Q10" i="12"/>
  <c r="S10" i="12"/>
  <c r="U10" i="12"/>
  <c r="T10" i="12"/>
  <c r="P20" i="10"/>
  <c r="J10" i="22"/>
  <c r="F10" i="22"/>
  <c r="C10" i="22"/>
  <c r="C22" i="13"/>
  <c r="K106" i="13"/>
  <c r="K11" i="26"/>
  <c r="H19" i="26"/>
  <c r="K21" i="26"/>
  <c r="M25" i="26"/>
  <c r="P25" i="26"/>
  <c r="K24" i="26"/>
  <c r="K23"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R50" i="5" l="1"/>
  <c r="AE28" i="5"/>
  <c r="S23" i="10"/>
  <c r="D50" i="5"/>
  <c r="F26" i="10"/>
  <c r="G25" i="26"/>
  <c r="C46" i="5"/>
  <c r="C28" i="5"/>
  <c r="F50" i="5"/>
  <c r="H26" i="10"/>
  <c r="E22" i="26"/>
  <c r="C47" i="5"/>
  <c r="C17" i="5"/>
  <c r="F12" i="26" s="1"/>
  <c r="G39" i="5"/>
  <c r="AE17" i="5"/>
  <c r="Q13" i="26"/>
  <c r="S12" i="10"/>
  <c r="S14" i="10"/>
  <c r="E13" i="26"/>
  <c r="C36" i="5"/>
  <c r="I10" i="19"/>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7"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Y25" i="10" l="1"/>
  <c r="W49" i="5"/>
  <c r="V24" i="26"/>
  <c r="U24" i="26"/>
  <c r="X25" i="10"/>
  <c r="V49" i="5"/>
  <c r="U49" i="5"/>
  <c r="T24" i="26"/>
  <c r="W25" i="10"/>
  <c r="X24" i="10"/>
  <c r="S24" i="10" s="1"/>
  <c r="U23" i="26"/>
  <c r="Q23" i="26" s="1"/>
  <c r="V48" i="5"/>
  <c r="Q48" i="5" s="1"/>
  <c r="W46" i="5"/>
  <c r="W50" i="5" s="1"/>
  <c r="V21" i="26"/>
  <c r="V25" i="26" s="1"/>
  <c r="Y22" i="10"/>
  <c r="Y26" i="10" s="1"/>
  <c r="V46" i="5"/>
  <c r="X22" i="10"/>
  <c r="U21" i="26"/>
  <c r="U46" i="5"/>
  <c r="U50" i="5" s="1"/>
  <c r="W22" i="10"/>
  <c r="T21" i="26"/>
  <c r="T25" i="26" s="1"/>
  <c r="T46" i="5"/>
  <c r="T50" i="5" s="1"/>
  <c r="S21" i="26"/>
  <c r="S25" i="26" s="1"/>
  <c r="V22" i="10"/>
  <c r="V26" i="10" s="1"/>
  <c r="S46" i="5"/>
  <c r="U22" i="10"/>
  <c r="R21" i="26"/>
  <c r="I49" i="5"/>
  <c r="J24" i="26"/>
  <c r="K25" i="10"/>
  <c r="H49" i="5"/>
  <c r="H50" i="5" s="1"/>
  <c r="I24" i="26"/>
  <c r="I25" i="26" s="1"/>
  <c r="J25" i="10"/>
  <c r="J26" i="10" s="1"/>
  <c r="G49" i="5"/>
  <c r="I25" i="10"/>
  <c r="H24" i="26"/>
  <c r="J23" i="26"/>
  <c r="J25" i="26" s="1"/>
  <c r="G24" i="10"/>
  <c r="F23" i="26"/>
  <c r="E48" i="5"/>
  <c r="K24" i="10"/>
  <c r="I48" i="5"/>
  <c r="I50" i="5" s="1"/>
  <c r="T12" i="26"/>
  <c r="W13" i="10"/>
  <c r="U37" i="5"/>
  <c r="V13" i="10"/>
  <c r="S12" i="26"/>
  <c r="T37" i="5"/>
  <c r="U13" i="10"/>
  <c r="S37" i="5"/>
  <c r="R37" i="5"/>
  <c r="R12" i="26"/>
  <c r="Q12" i="26" s="1"/>
  <c r="T13" i="10"/>
  <c r="S13" i="10" s="1"/>
  <c r="V11" i="26"/>
  <c r="V15" i="26" s="1"/>
  <c r="R39" i="5"/>
  <c r="T15" i="10"/>
  <c r="R14" i="26"/>
  <c r="F37" i="5"/>
  <c r="G37" i="5"/>
  <c r="H37" i="5"/>
  <c r="I37" i="5"/>
  <c r="F13" i="10"/>
  <c r="H12" i="26"/>
  <c r="H13" i="10"/>
  <c r="I13" i="10"/>
  <c r="I12" i="26"/>
  <c r="J13" i="10"/>
  <c r="K13" i="10"/>
  <c r="G12" i="26"/>
  <c r="D37" i="5"/>
  <c r="J12" i="26"/>
  <c r="E37" i="5"/>
  <c r="G13" i="10"/>
  <c r="K15" i="10"/>
  <c r="J14" i="26"/>
  <c r="I39" i="5"/>
  <c r="I14" i="26"/>
  <c r="J15" i="10"/>
  <c r="H39" i="5"/>
  <c r="H15" i="10"/>
  <c r="F39" i="5"/>
  <c r="G14" i="26"/>
  <c r="E39" i="5"/>
  <c r="G15" i="10"/>
  <c r="F11" i="26"/>
  <c r="D39" i="5"/>
  <c r="F14" i="26"/>
  <c r="F15" i="10"/>
  <c r="T35" i="5"/>
  <c r="U35" i="5"/>
  <c r="U40" i="5" s="1"/>
  <c r="V35" i="5"/>
  <c r="V40" i="5" s="1"/>
  <c r="X11" i="10"/>
  <c r="X16" i="10" s="1"/>
  <c r="Y11" i="10"/>
  <c r="Y16" i="10" s="1"/>
  <c r="R11" i="26"/>
  <c r="U11" i="26"/>
  <c r="U15" i="26" s="1"/>
  <c r="R35" i="5"/>
  <c r="U11" i="10"/>
  <c r="U16" i="10" s="1"/>
  <c r="T11" i="10"/>
  <c r="F11" i="10"/>
  <c r="F35" i="5"/>
  <c r="H11" i="26"/>
  <c r="K11" i="10"/>
  <c r="C18" i="5"/>
  <c r="J11" i="10"/>
  <c r="G35" i="5"/>
  <c r="H11" i="10"/>
  <c r="H35" i="5"/>
  <c r="G11" i="10"/>
  <c r="I15" i="10"/>
  <c r="I35" i="5"/>
  <c r="H14" i="26"/>
  <c r="I11" i="10"/>
  <c r="G11" i="26"/>
  <c r="J11" i="26"/>
  <c r="D35" i="5"/>
  <c r="I11" i="26"/>
  <c r="E35" i="5"/>
  <c r="S35" i="5"/>
  <c r="W11" i="10"/>
  <c r="S11" i="26"/>
  <c r="W35" i="5"/>
  <c r="W40" i="5" s="1"/>
  <c r="AE18" i="5"/>
  <c r="V11" i="10"/>
  <c r="T39" i="5"/>
  <c r="T11" i="26"/>
  <c r="T15" i="26" s="1"/>
  <c r="S14" i="26"/>
  <c r="V15" i="10"/>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Q49" i="5" l="1"/>
  <c r="S25" i="10"/>
  <c r="Q24" i="26"/>
  <c r="W26" i="10"/>
  <c r="U25" i="26"/>
  <c r="X26" i="10"/>
  <c r="V50" i="5"/>
  <c r="R25" i="26"/>
  <c r="Q21" i="26"/>
  <c r="S50" i="5"/>
  <c r="Q46" i="5"/>
  <c r="Q50" i="5" s="1"/>
  <c r="S22" i="10"/>
  <c r="U26" i="10"/>
  <c r="K26" i="10"/>
  <c r="E25" i="10"/>
  <c r="I26" i="10"/>
  <c r="G50" i="5"/>
  <c r="C49" i="5"/>
  <c r="E24" i="26"/>
  <c r="H25" i="26"/>
  <c r="F25" i="26"/>
  <c r="E23" i="26"/>
  <c r="E25" i="26" s="1"/>
  <c r="E50" i="5"/>
  <c r="C48" i="5"/>
  <c r="G26" i="10"/>
  <c r="E24" i="10"/>
  <c r="Q37" i="5"/>
  <c r="W16" i="10"/>
  <c r="S40" i="5"/>
  <c r="Q39" i="5"/>
  <c r="R40" i="5"/>
  <c r="T16" i="10"/>
  <c r="R15" i="26"/>
  <c r="S15" i="10"/>
  <c r="Q14" i="26"/>
  <c r="E12" i="26"/>
  <c r="E13" i="10"/>
  <c r="J16" i="10"/>
  <c r="G16" i="10"/>
  <c r="G40" i="5"/>
  <c r="F40" i="5"/>
  <c r="C37" i="5"/>
  <c r="I15" i="26"/>
  <c r="J15" i="26"/>
  <c r="K16" i="10"/>
  <c r="I40" i="5"/>
  <c r="E14" i="26"/>
  <c r="C39" i="5"/>
  <c r="H16" i="10"/>
  <c r="H40" i="5"/>
  <c r="F15" i="26"/>
  <c r="E15" i="10"/>
  <c r="E40" i="5"/>
  <c r="D40" i="5"/>
  <c r="I16" i="10"/>
  <c r="F16" i="10"/>
  <c r="E11" i="26"/>
  <c r="G15" i="26"/>
  <c r="H15" i="26"/>
  <c r="C35" i="5"/>
  <c r="E11" i="10"/>
  <c r="V16" i="10"/>
  <c r="Q11" i="26"/>
  <c r="T40" i="5"/>
  <c r="Q35" i="5"/>
  <c r="S15" i="26"/>
  <c r="S11" i="10"/>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S26" i="10" l="1"/>
  <c r="Q25" i="26"/>
  <c r="C50" i="5"/>
  <c r="E26" i="10"/>
  <c r="Q40" i="5"/>
  <c r="S16" i="10"/>
  <c r="Q15" i="26"/>
  <c r="C40" i="5"/>
  <c r="E16" i="10"/>
  <c r="E15" i="26"/>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<sst xmlns="http://schemas.openxmlformats.org/spreadsheetml/2006/main" count="2486" uniqueCount="536">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</sst>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3869</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3869</v>
      </c>
      <c r="E14" s="150">
        <v>1240</v>
      </c>
      <c r="F14" s="150">
        <v>1030</v>
      </c>
      <c r="G14" s="150">
        <v>620</v>
      </c>
      <c r="H14" s="150">
        <v>163</v>
      </c>
      <c r="I14" s="151">
        <v>234</v>
      </c>
      <c r="J14" s="152">
        <v>582</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C21" sqref="C21"/>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251</v>
      </c>
      <c r="E11" s="144"/>
      <c r="F11" s="144"/>
      <c r="G11" s="144"/>
      <c r="H11" s="144"/>
      <c r="I11" s="144"/>
      <c r="J11" s="145"/>
      <c r="K11" s="143">
        <v>4600</v>
      </c>
      <c r="L11" s="144"/>
      <c r="M11" s="144"/>
      <c r="N11" s="144"/>
      <c r="O11" s="144"/>
      <c r="P11" s="144"/>
      <c r="Q11" s="146"/>
    </row>
    <row r="12" spans="2:17" ht="25.5" x14ac:dyDescent="0.2">
      <c r="B12" s="60" t="s">
        <v>159</v>
      </c>
      <c r="C12" s="61" t="s">
        <v>160</v>
      </c>
      <c r="D12" s="143">
        <v>10050</v>
      </c>
      <c r="E12" s="144"/>
      <c r="F12" s="144"/>
      <c r="G12" s="144"/>
      <c r="H12" s="144"/>
      <c r="I12" s="147"/>
      <c r="J12" s="148"/>
      <c r="K12" s="143">
        <v>5046</v>
      </c>
      <c r="L12" s="144"/>
      <c r="M12" s="144"/>
      <c r="N12" s="144"/>
      <c r="O12" s="144"/>
      <c r="P12" s="144"/>
      <c r="Q12" s="146"/>
    </row>
    <row r="13" spans="2:17" ht="25.5" x14ac:dyDescent="0.2">
      <c r="B13" s="62" t="s">
        <v>161</v>
      </c>
      <c r="C13" s="61" t="s">
        <v>162</v>
      </c>
      <c r="D13" s="143">
        <v>485</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9017</v>
      </c>
      <c r="E14" s="150">
        <v>3361</v>
      </c>
      <c r="F14" s="150">
        <v>1205</v>
      </c>
      <c r="G14" s="150">
        <v>672</v>
      </c>
      <c r="H14" s="150">
        <v>457</v>
      </c>
      <c r="I14" s="151">
        <v>661</v>
      </c>
      <c r="J14" s="152">
        <v>2661</v>
      </c>
      <c r="K14" s="149">
        <f>SUM(L14:Q14)</f>
        <v>4941</v>
      </c>
      <c r="L14" s="150">
        <v>4497</v>
      </c>
      <c r="M14" s="150">
        <v>299</v>
      </c>
      <c r="N14" s="150"/>
      <c r="O14" s="150">
        <v>20</v>
      </c>
      <c r="P14" s="151">
        <v>70</v>
      </c>
      <c r="Q14" s="181">
        <v>55</v>
      </c>
    </row>
    <row r="15" spans="2:17" ht="38.25" x14ac:dyDescent="0.2">
      <c r="B15" s="62" t="s">
        <v>165</v>
      </c>
      <c r="C15" s="61" t="s">
        <v>166</v>
      </c>
      <c r="D15" s="149">
        <f>IF(D11+D12-D14-D13=0,"",D11+D12-D14-D13)</f>
        <v>799</v>
      </c>
      <c r="E15" s="144"/>
      <c r="F15" s="144"/>
      <c r="G15" s="144"/>
      <c r="H15" s="144"/>
      <c r="I15" s="147"/>
      <c r="J15" s="148"/>
      <c r="K15" s="149">
        <f>IF(K11+K12-K14-K13=0,"",K11+K12-K14-K13)</f>
        <v>4705</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529</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527</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מבטחים מוסד לביטוח סוציאלי של העובדים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0.95881006864988549</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0.60983981693363842</v>
      </c>
      <c r="G11" s="79">
        <f>IF((' פנסיוני א3'!F12+' פנסיוני א3'!M12+' פנסיוני א3'!F13+' פנסיוני א3'!M13)=0,0,(' פנסיוני א3'!F12+' פנסיוני א3'!M12+' פנסיוני א3'!F13+' פנסיוני א3'!M13)/(' פנסיוני א3'!$C$17+' פנסיוני א3'!$J$17))</f>
        <v>0.20022883295194507</v>
      </c>
      <c r="H11" s="79">
        <f>IF((' פנסיוני א3'!G12+' פנסיוני א3'!N12+' פנסיוני א3'!G13+' פנסיוני א3'!N13)=0,0,(' פנסיוני א3'!G12+' פנסיוני א3'!N12+' פנסיוני א3'!G13+' פנסיוני א3'!N13)/(' פנסיוני א3'!$C$17+' פנסיוני א3'!$J$17))</f>
        <v>0.10640732265446225</v>
      </c>
      <c r="I11" s="79">
        <f>IF((' פנסיוני א3'!H12+' פנסיוני א3'!O12+' פנסיוני א3'!H13+' פנסיוני א3'!O13)=0,0,(' פנסיוני א3'!H12+' פנסיוני א3'!O12+' פנסיוני א3'!H13+' פנסיוני א3'!O13)/(' פנסיוני א3'!$C$17+' פנסיוני א3'!$J$17))</f>
        <v>3.0892448512585814E-2</v>
      </c>
      <c r="J11" s="79">
        <f>IF((' פנסיוני א3'!I12+' פנסיוני א3'!P12+' פנסיוני א3'!I13+' פנסיוני א3'!P13)=0,0,(' פנסיוני א3'!I12+' פנסיוני א3'!P12+' פנסיוני א3'!I13+' פנסיוני א3'!P13)/(' פנסיוני א3'!$C$17+' פנסיוני א3'!$J$17))</f>
        <v>1.1441647597254004E-2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0.98686371100164194</v>
      </c>
      <c r="R11" s="79">
        <f>IF(' פנסיוני א3'!AF12+' פנסיוני א3'!AG12+' פנסיוני א3'!AF13+' פנסיוני א3'!AG13=0,0,(' פנסיוני א3'!AF12+' פנסיוני א3'!AG12+' פנסיוני א3'!AF13+' פנסיוני א3'!AG13)/' פנסיוני א3'!$AE$17)</f>
        <v>0.56814449917898191</v>
      </c>
      <c r="S11" s="79">
        <f>IF(' פנסיוני א3'!AH12+' פנסיוני א3'!AH13=0,0,(' פנסיוני א3'!AH12+' פנסיוני א3'!AH13)/' פנסיוני א3'!$AE$17)</f>
        <v>0.37766830870279144</v>
      </c>
      <c r="T11" s="79">
        <f>IF(' פנסיוני א3'!AI12+' פנסיוני א3'!AI13=0,0,(' פנסיוני א3'!AI12+' פנסיוני א3'!AI13)/' פנסיוני א3'!$AE$17)</f>
        <v>3.7766830870279149E-2</v>
      </c>
      <c r="U11" s="79">
        <f>IF(' פנסיוני א3'!AJ12+' פנסיוני א3'!AJ13=0,0,(' פנסיוני א3'!AJ12+' פנסיוני א3'!AJ13)/' פנסיוני א3'!$AE$17)</f>
        <v>2.7367268746579091E-3</v>
      </c>
      <c r="V11" s="81">
        <f>IF(' פנסיוני א3'!AK12+' פנסיוני א3'!AK13=0,0,(' פנסיוני א3'!AK12+' פנסיוני א3'!AK13)/' פנסיוני א3'!$AE$17)</f>
        <v>5.4734537493158185E-4</v>
      </c>
    </row>
    <row r="12" spans="1:25" x14ac:dyDescent="0.2">
      <c r="A12" s="202">
        <v>4</v>
      </c>
      <c r="B12" s="203" t="s">
        <v>77</v>
      </c>
      <c r="C12" s="272"/>
      <c r="D12" s="273"/>
      <c r="E12" s="78">
        <f>SUM(F12:J12)</f>
        <v>3.8901601830663615E-2</v>
      </c>
      <c r="F12" s="79">
        <f>IF((' פנסיוני א3'!D14+' פנסיוני א3'!K14+' פנסיוני א3'!E14+' פנסיוני א3'!L14)=0,0,(' פנסיוני א3'!D14+' פנסיוני א3'!K14+' פנסיוני א3'!E14+' פנסיוני א3'!L14)/(' פנסיוני א3'!$C$17+' פנסיוני א3'!$J$17))</f>
        <v>1.2585812356979404E-2</v>
      </c>
      <c r="G12" s="79">
        <f>IF((' פנסיוני א3'!F14+' פנסיוני א3'!M14)=0,0,(' פנסיוני א3'!F14+' פנסיוני א3'!M14)/(' פנסיוני א3'!$C$17+' פנסיוני א3'!$J$17))</f>
        <v>1.0297482837528604E-2</v>
      </c>
      <c r="H12" s="79">
        <f>IF((' פנסיוני א3'!G14+' פנסיוני א3'!N14)=0,0,(' פנסיוני א3'!G14+' פנסיוני א3'!N14)/(' פנסיוני א3'!$C$17+' פנסיוני א3'!$J$17))</f>
        <v>2.2883295194508009E-3</v>
      </c>
      <c r="I12" s="79">
        <f>IF((' פנסיוני א3'!H14+' פנסיוני א3'!O14)=0,0,(' פנסיוני א3'!H14+' פנסיוני א3'!O14)/(' פנסיוני א3'!$C$17+' פנסיוני א3'!$J$17))</f>
        <v>2.2883295194508009E-3</v>
      </c>
      <c r="J12" s="79">
        <f>IF((' פנסיוני א3'!I14+' פנסיוני א3'!P14)=0,0,(' פנסיוני א3'!I14+' פנסיוני א3'!P14)/(' פנסיוני א3'!$C$17+' פנסיוני א3'!$J$17))</f>
        <v>1.1441647597254004E-2</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1.1494252873563218E-2</v>
      </c>
      <c r="R12" s="79">
        <f>IF(' פנסיוני א3'!AF14+' פנסיוני א3'!AG14=0,0,(' פנסיוני א3'!AF14+' פנסיוני א3'!AG14)/' פנסיוני א3'!$AE$17)</f>
        <v>2.7367268746579091E-3</v>
      </c>
      <c r="S12" s="79">
        <f>IF(' פנסיוני א3'!AH14=0,0,' פנסיוני א3'!AH14/' פנסיוני א3'!$AE$17)</f>
        <v>3.2840722495894909E-3</v>
      </c>
      <c r="T12" s="79">
        <f>IF(' פנסיוני א3'!AI14=0,0,' פנסיוני א3'!AI14/' פנסיוני א3'!$AE$17)</f>
        <v>5.4734537493158182E-3</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2.2883295194508009E-3</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1.1441647597254005E-3</v>
      </c>
      <c r="H14" s="79">
        <f>IF((' פנסיוני א3'!G16+' פנסיוני א3'!N16)=0,0,(' פנסיוני א3'!G16+' פנסיוני א3'!N16)/(' פנסיוני א3'!$C$17+' פנסיוני א3'!$J$17))</f>
        <v>1.1441647597254005E-3</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1.6420361247947456E-3</v>
      </c>
      <c r="R14" s="79">
        <f>IF(' פנסיוני א3'!AF16+' פנסיוני א3'!AG16=0,0,(' פנסיוני א3'!AF16+' פנסיוני א3'!AG16)/' פנסיוני א3'!$AE$17)</f>
        <v>5.4734537493158185E-4</v>
      </c>
      <c r="S14" s="79">
        <f>IF(' פנסיוני א3'!AH16=0,0,' פנסיוני א3'!AH16/' פנסיוני א3'!$AE$17)</f>
        <v>1.0946907498631637E-3</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0.99999999999999989</v>
      </c>
      <c r="F15" s="92">
        <f t="shared" si="0"/>
        <v>0.62242562929061784</v>
      </c>
      <c r="G15" s="92">
        <f t="shared" si="0"/>
        <v>0.21167048054919907</v>
      </c>
      <c r="H15" s="92">
        <f t="shared" si="0"/>
        <v>0.10983981693363845</v>
      </c>
      <c r="I15" s="92">
        <f t="shared" si="0"/>
        <v>3.3180778032036617E-2</v>
      </c>
      <c r="J15" s="83">
        <f t="shared" si="0"/>
        <v>2.2883295194508008E-2</v>
      </c>
      <c r="K15" s="78">
        <f t="shared" si="0"/>
        <v>0</v>
      </c>
      <c r="L15" s="92">
        <f t="shared" si="0"/>
        <v>0</v>
      </c>
      <c r="M15" s="92">
        <f t="shared" si="0"/>
        <v>0</v>
      </c>
      <c r="N15" s="92">
        <f t="shared" si="0"/>
        <v>0</v>
      </c>
      <c r="O15" s="92">
        <f t="shared" si="0"/>
        <v>0</v>
      </c>
      <c r="P15" s="83">
        <f t="shared" si="0"/>
        <v>0</v>
      </c>
      <c r="Q15" s="78">
        <f t="shared" si="0"/>
        <v>0.99999999999999989</v>
      </c>
      <c r="R15" s="92">
        <f t="shared" si="0"/>
        <v>0.5714285714285714</v>
      </c>
      <c r="S15" s="92">
        <f t="shared" si="0"/>
        <v>0.38204707170224411</v>
      </c>
      <c r="T15" s="92">
        <f t="shared" si="0"/>
        <v>4.3240284619594969E-2</v>
      </c>
      <c r="U15" s="92">
        <f t="shared" si="0"/>
        <v>2.7367268746579091E-3</v>
      </c>
      <c r="V15" s="83">
        <f t="shared" si="0"/>
        <v>5.4734537493158185E-4</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446</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0.86046511627906974</v>
      </c>
      <c r="R21" s="79">
        <f>IF(' פנסיוני א3'!AF24+' פנסיוני א3'!AG24=0,0,(' פנסיוני א3'!AF24+' פנסיוני א3'!AG24)/' פנסיוני א3'!$AE$28)</f>
        <v>0.11627906976744186</v>
      </c>
      <c r="S21" s="79">
        <f>IF(' פנסיוני א3'!AH24=0,0,' פנסיוני א3'!AH24/' פנסיוני א3'!$AE$28)</f>
        <v>0.16279069767441862</v>
      </c>
      <c r="T21" s="79">
        <f>IF(' פנסיוני א3'!AI24=0,0,' פנסיוני א3'!AI24/' פנסיוני א3'!$AE$28)</f>
        <v>0.30232558139534882</v>
      </c>
      <c r="U21" s="79">
        <f>IF(' פנסיוני א3'!AJ24=0,0,' פנסיוני א3'!AJ24/' פנסיוני א3'!$AE$28)</f>
        <v>0.16279069767441862</v>
      </c>
      <c r="V21" s="81">
        <f>IF(' פנסיוני א3'!AK24=0,0,' פנסיוני א3'!AK24/' פנסיוני א3'!$AE$28)</f>
        <v>0.11627906976744186</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0.25</v>
      </c>
      <c r="F23" s="79">
        <f>IF((' פנסיוני א3'!D26+' פנסיוני א3'!K26+' פנסיוני א3'!E26+' פנסיוני א3'!L26)=0,0,(' פנסיוני א3'!D26+' פנסיוני א3'!K26+' פנסיוני א3'!E26+' פנסיוני א3'!L26)/(' פנסיוני א3'!$C$28+' פנסיוני א3'!$J$28))</f>
        <v>0.125</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0.125</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2.3255813953488372E-2</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2.3255813953488372E-2</v>
      </c>
      <c r="V23" s="81">
        <f>IF(' פנסיוני א3'!AK26=0,0,' פנסיוני א3'!AK26/' פנסיוני א3'!$AE$28)</f>
        <v>0</v>
      </c>
    </row>
    <row r="24" spans="1:22" x14ac:dyDescent="0.2">
      <c r="A24" s="202">
        <v>4</v>
      </c>
      <c r="B24" s="466" t="s">
        <v>85</v>
      </c>
      <c r="C24" s="467"/>
      <c r="D24" s="471"/>
      <c r="E24" s="98">
        <f>SUM(F24:J24)</f>
        <v>0.75</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0.375</v>
      </c>
      <c r="I24" s="79">
        <f>IF((' פנסיוני א3'!H27+' פנסיוני א3'!O27)=0,0,(' פנסיוני א3'!H27+' פנסיוני א3'!O27)/(' פנסיוני א3'!$C$28+' פנסיוני א3'!$J$28))</f>
        <v>0.125</v>
      </c>
      <c r="J24" s="79">
        <f>IF((' פנסיוני א3'!I27+' פנסיוני א3'!P27)=0,0,(' פנסיוני א3'!I27+' פנסיוני א3'!P27)/(' פנסיוני א3'!$C$28+' פנסיוני א3'!$J$28))</f>
        <v>0.25</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0.11627906976744186</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6.9767441860465115E-2</v>
      </c>
      <c r="U24" s="79">
        <f>IF(' פנסיוני א3'!AJ27=0,0,' פנסיוני א3'!AJ27/' פנסיוני א3'!$AE$28)</f>
        <v>2.3255813953488372E-2</v>
      </c>
      <c r="V24" s="81">
        <f>IF(' פנסיוני א3'!AK27=0,0,' פנסיוני א3'!AK27/' פנסיוני א3'!$AE$28)</f>
        <v>2.3255813953488372E-2</v>
      </c>
    </row>
    <row r="25" spans="1:22" ht="13.5" thickBot="1" x14ac:dyDescent="0.25">
      <c r="A25" s="207">
        <v>5</v>
      </c>
      <c r="B25" s="472" t="s">
        <v>86</v>
      </c>
      <c r="C25" s="473"/>
      <c r="D25" s="474"/>
      <c r="E25" s="100">
        <f>SUM(E21:E24)</f>
        <v>1</v>
      </c>
      <c r="F25" s="103">
        <f t="shared" ref="F25:V25" si="2">SUM(F21:F24)</f>
        <v>0.125</v>
      </c>
      <c r="G25" s="103">
        <f t="shared" si="2"/>
        <v>0</v>
      </c>
      <c r="H25" s="103">
        <f t="shared" si="2"/>
        <v>0.375</v>
      </c>
      <c r="I25" s="103">
        <f t="shared" si="2"/>
        <v>0.125</v>
      </c>
      <c r="J25" s="102">
        <f t="shared" si="2"/>
        <v>0.375</v>
      </c>
      <c r="K25" s="100">
        <f t="shared" si="2"/>
        <v>0</v>
      </c>
      <c r="L25" s="103">
        <f t="shared" si="2"/>
        <v>0</v>
      </c>
      <c r="M25" s="103">
        <f t="shared" si="2"/>
        <v>0</v>
      </c>
      <c r="N25" s="103">
        <f t="shared" si="2"/>
        <v>0</v>
      </c>
      <c r="O25" s="103">
        <f t="shared" si="2"/>
        <v>0</v>
      </c>
      <c r="P25" s="102">
        <f t="shared" si="2"/>
        <v>0</v>
      </c>
      <c r="Q25" s="100">
        <f>SUM(Q21:Q24)</f>
        <v>1</v>
      </c>
      <c r="R25" s="103">
        <f t="shared" si="2"/>
        <v>0.11627906976744186</v>
      </c>
      <c r="S25" s="103">
        <f t="shared" si="2"/>
        <v>0.16279069767441862</v>
      </c>
      <c r="T25" s="103">
        <f t="shared" si="2"/>
        <v>0.37209302325581395</v>
      </c>
      <c r="U25" s="103">
        <f t="shared" si="2"/>
        <v>0.20930232558139533</v>
      </c>
      <c r="V25" s="102">
        <f t="shared" si="2"/>
        <v>0.13953488372093023</v>
      </c>
    </row>
    <row r="26" spans="1:22" x14ac:dyDescent="0.2">
      <c r="A26" s="262"/>
      <c r="B26" s="447"/>
      <c r="C26" s="447"/>
      <c r="D26" s="447"/>
    </row>
    <row r="27" spans="1:22" x14ac:dyDescent="0.2">
      <c r="A27" s="301"/>
      <c r="B27" s="364" t="s">
        <v>527</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0.32049625226156631</v>
      </c>
      <c r="E10" s="116">
        <f>IF('נספח א4 - G'!$D$14=0,"",'נספח א4 - G'!F14/'נספח א4 - G'!$D$14)</f>
        <v>0.26621866115275267</v>
      </c>
      <c r="F10" s="116">
        <f>IF('נספח א4 - G'!$D$14=0,"",'נספח א4 - G'!G14/'נספח א4 - G'!$D$14)</f>
        <v>0.16024812613078315</v>
      </c>
      <c r="G10" s="116">
        <f>IF('נספח א4 - G'!$D$14=0,"",'נספח א4 - G'!H14/'נספח א4 - G'!$D$14)</f>
        <v>4.2129749289222022E-2</v>
      </c>
      <c r="H10" s="116">
        <f>IF('נספח א4 - G'!$D$14=0,"",'נספח א4 - G'!I14/'נספח א4 - G'!$D$14)</f>
        <v>6.0480744378392348E-2</v>
      </c>
      <c r="I10" s="116">
        <f>IF('נספח א4 - G'!$D$14=0,"",'נספח א4 - G'!J14/'נספח א4 - G'!$D$14)</f>
        <v>0.15042646678728352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217</v>
      </c>
      <c r="C13" s="218">
        <f>VLOOKUP(B13,'רשימת גופים'!A3:B230,2,0)</f>
        <v>520019688</v>
      </c>
      <c r="D13" s="155" t="s">
        <v>534</v>
      </c>
      <c r="E13" s="156" t="s">
        <v>535</v>
      </c>
      <c r="F13" s="156">
        <v>2020</v>
      </c>
      <c r="G13" s="209" t="s">
        <v>447</v>
      </c>
      <c r="H13" s="383" t="str">
        <f>CONCATENATE("netunim","_",C13,"_",F13,".xlsx")</f>
        <v>netunim_520019688_2020.xlsx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0.37274037928357545</v>
      </c>
      <c r="E10" s="116">
        <f>IF('נספח א4 - P'!$D$14=0,"",'נספח א4 - P'!F14/'נספח א4 - P'!$D$14)</f>
        <v>0.1336364644560275</v>
      </c>
      <c r="F10" s="116">
        <f>IF('נספח א4 - P'!$D$14=0,"",'נספח א4 - P'!G14/'נספח א4 - P'!$D$14)</f>
        <v>7.4525895530664299E-2</v>
      </c>
      <c r="G10" s="116">
        <f>IF('נספח א4 - P'!$D$14=0,"",'נספח א4 - P'!H14/'נספח א4 - P'!$D$14)</f>
        <v>5.0682045026061884E-2</v>
      </c>
      <c r="H10" s="116">
        <f>IF('נספח א4 - P'!$D$14=0,"",'נספח א4 - P'!I14/'נספח א4 - P'!$D$14)</f>
        <v>7.3305977597870692E-2</v>
      </c>
      <c r="I10" s="116">
        <f>IF('נספח א4 - P'!$D$14=0,"",'נספח א4 - P'!J14/'נספח א4 - P'!$D$14)</f>
        <v>0.29510923810580014</v>
      </c>
      <c r="J10" s="116">
        <f>IF('נספח א4 - P'!$K$14=0,"",'נספח א4 - P'!K14/'נספח א4 - P'!$K$14)</f>
        <v>1</v>
      </c>
      <c r="K10" s="116">
        <f>IF('נספח א4 - P'!$K$14=0,"",'נספח א4 - P'!L14/'נספח א4 - P'!$K$14)</f>
        <v>0.91013964784456591</v>
      </c>
      <c r="L10" s="116">
        <f>IF('נספח א4 - P'!$K$14=0,"",'נספח א4 - P'!M14/'נספח א4 - P'!$K$14)</f>
        <v>6.0514065978546853E-2</v>
      </c>
      <c r="M10" s="116">
        <f>IF('נספח א4 - P'!$K$14=0,"",'נספח א4 - P'!N14/'נספח א4 - P'!$K$14)</f>
        <v>0</v>
      </c>
      <c r="N10" s="116">
        <f>IF('נספח א4 - P'!$K$14=0,"",'נספח א4 - P'!O14/'נספח א4 - P'!$K$14)</f>
        <v>4.0477636106051405E-3</v>
      </c>
      <c r="O10" s="116">
        <f>IF('נספח א4 - P'!$K$14=0,"",'נספח א4 - P'!P14/'נספח א4 - P'!$K$14)</f>
        <v>1.4167172637117992E-2</v>
      </c>
      <c r="P10" s="117">
        <f>IF('נספח א4 - P'!$K$14=0,"",'נספח א4 - P'!Q14/'נספח א4 - P'!$K$14)</f>
        <v>1.1131349929164137E-2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495</v>
      </c>
      <c r="E7" s="47" t="s">
        <v>496</v>
      </c>
      <c r="F7" s="11" t="s">
        <v>394</v>
      </c>
      <c r="G7" s="11" t="s">
        <v>395</v>
      </c>
      <c r="H7" s="11" t="s">
        <v>396</v>
      </c>
      <c r="I7" s="157" t="s">
        <v>41</v>
      </c>
      <c r="J7" s="525"/>
      <c r="K7" s="11" t="s">
        <v>495</v>
      </c>
      <c r="L7" s="47" t="s">
        <v>496</v>
      </c>
      <c r="M7" s="11" t="s">
        <v>394</v>
      </c>
      <c r="N7" s="11" t="s">
        <v>395</v>
      </c>
      <c r="O7" s="11" t="s">
        <v>396</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394</v>
      </c>
      <c r="I31" s="11" t="s">
        <v>395</v>
      </c>
      <c r="J31" s="11" t="s">
        <v>396</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525</v>
      </c>
      <c r="C38" s="503" t="s">
        <v>462</v>
      </c>
      <c r="D38" s="503"/>
      <c r="E38" s="50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446</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495</v>
      </c>
      <c r="H95" s="326" t="s">
        <v>496</v>
      </c>
      <c r="I95" s="325" t="s">
        <v>394</v>
      </c>
      <c r="J95" s="325" t="s">
        <v>395</v>
      </c>
      <c r="K95" s="325" t="s">
        <v>396</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498</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7" t="s">
        <v>499</v>
      </c>
      <c r="C99" s="518" t="s">
        <v>458</v>
      </c>
      <c r="D99" s="518"/>
      <c r="E99" s="51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521</v>
      </c>
      <c r="C103" s="518" t="s">
        <v>462</v>
      </c>
      <c r="D103" s="518"/>
      <c r="E103" s="51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446</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מבטחים מוסד לביטוח סוציאלי של העובדים בע"מ</v>
      </c>
    </row>
    <row r="3" spans="1:145" ht="15.75" x14ac:dyDescent="0.25">
      <c r="B3" s="183" t="str">
        <f>CONCATENATE(הוראות!Z13,הוראות!F13)</f>
        <v>הנתונים ביחידות בודדות לשנת 2020</v>
      </c>
    </row>
    <row r="4" spans="1:145" ht="12.75" customHeight="1" x14ac:dyDescent="0.2">
      <c r="B4" s="182" t="s">
        <v>425</v>
      </c>
      <c r="C4" s="404" t="s">
        <v>26</v>
      </c>
      <c r="D4" s="405"/>
      <c r="E4" s="405"/>
      <c r="F4" s="405"/>
      <c r="G4" s="405"/>
      <c r="H4" s="405"/>
      <c r="I4" s="406"/>
      <c r="J4" s="396" t="s">
        <v>27</v>
      </c>
      <c r="K4" s="397"/>
      <c r="L4" s="397"/>
      <c r="M4" s="397"/>
      <c r="N4" s="397"/>
      <c r="O4" s="397"/>
      <c r="P4" s="397"/>
      <c r="Q4" s="397"/>
      <c r="R4" s="397"/>
      <c r="S4" s="397"/>
      <c r="T4" s="397"/>
      <c r="U4" s="397"/>
      <c r="V4" s="397"/>
      <c r="W4" s="398"/>
      <c r="X4" s="396" t="s">
        <v>529</v>
      </c>
      <c r="Y4" s="397"/>
      <c r="Z4" s="397"/>
      <c r="AA4" s="397"/>
      <c r="AB4" s="397"/>
      <c r="AC4" s="397"/>
      <c r="AD4" s="397"/>
      <c r="AE4" s="397"/>
      <c r="AF4" s="397"/>
      <c r="AG4" s="397"/>
      <c r="AH4" s="397"/>
      <c r="AI4" s="397"/>
      <c r="AJ4" s="397"/>
      <c r="AK4" s="398"/>
      <c r="AL4" s="396" t="s">
        <v>530</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502</v>
      </c>
      <c r="E7" s="47" t="s">
        <v>503</v>
      </c>
      <c r="F7" s="47" t="s">
        <v>36</v>
      </c>
      <c r="G7" s="47" t="s">
        <v>37</v>
      </c>
      <c r="H7" s="47" t="s">
        <v>38</v>
      </c>
      <c r="I7" s="160" t="s">
        <v>39</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501</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501</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500</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7" t="s">
        <v>499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מבטחים מוסד לביטוח סוציאלי של העובדים בע"מ</v>
      </c>
    </row>
    <row r="3" spans="1:121" ht="15.75" x14ac:dyDescent="0.25">
      <c r="B3" s="225" t="str">
        <f>CONCATENATE(הוראות!Z13,הוראות!F13)</f>
        <v>הנתונים ביחידות בודדות לשנת 2020</v>
      </c>
    </row>
    <row r="4" spans="1:121" ht="12.75" customHeight="1" x14ac:dyDescent="0.2">
      <c r="B4" s="182" t="s">
        <v>425</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c r="AZ7" s="403"/>
      <c r="BA7" s="240" t="s">
        <v>495</v>
      </c>
      <c r="BB7" s="47" t="s">
        <v>496</v>
      </c>
      <c r="BC7" s="47" t="s">
        <v>394</v>
      </c>
      <c r="BD7" s="47" t="s">
        <v>395</v>
      </c>
      <c r="BE7" s="47" t="s">
        <v>396</v>
      </c>
      <c r="BF7" s="160" t="s">
        <v>41</v>
      </c>
      <c r="BG7" s="403"/>
      <c r="BH7" s="240" t="s">
        <v>495</v>
      </c>
      <c r="BI7" s="47" t="s">
        <v>496</v>
      </c>
      <c r="BJ7" s="47" t="s">
        <v>394</v>
      </c>
      <c r="BK7" s="47" t="s">
        <v>395</v>
      </c>
      <c r="BL7" s="47" t="s">
        <v>396</v>
      </c>
      <c r="BM7" s="160" t="s">
        <v>41</v>
      </c>
      <c r="BN7" s="403"/>
      <c r="BO7" s="240" t="s">
        <v>495</v>
      </c>
      <c r="BP7" s="47" t="s">
        <v>496</v>
      </c>
      <c r="BQ7" s="47" t="s">
        <v>394</v>
      </c>
      <c r="BR7" s="47" t="s">
        <v>395</v>
      </c>
      <c r="BS7" s="47" t="s">
        <v>396</v>
      </c>
      <c r="BT7" s="160" t="s">
        <v>41</v>
      </c>
      <c r="BU7" s="403"/>
      <c r="BV7" s="240" t="s">
        <v>495</v>
      </c>
      <c r="BW7" s="47" t="s">
        <v>496</v>
      </c>
      <c r="BX7" s="47" t="s">
        <v>394</v>
      </c>
      <c r="BY7" s="47" t="s">
        <v>395</v>
      </c>
      <c r="BZ7" s="47" t="s">
        <v>396</v>
      </c>
      <c r="CA7" s="160" t="s">
        <v>41</v>
      </c>
      <c r="CB7" s="403"/>
      <c r="CC7" s="240" t="s">
        <v>495</v>
      </c>
      <c r="CD7" s="47" t="s">
        <v>496</v>
      </c>
      <c r="CE7" s="47" t="s">
        <v>394</v>
      </c>
      <c r="CF7" s="47" t="s">
        <v>395</v>
      </c>
      <c r="CG7" s="47" t="s">
        <v>396</v>
      </c>
      <c r="CH7" s="160" t="s">
        <v>41</v>
      </c>
      <c r="CI7" s="403"/>
      <c r="CJ7" s="240" t="s">
        <v>495</v>
      </c>
      <c r="CK7" s="47" t="s">
        <v>496</v>
      </c>
      <c r="CL7" s="47" t="s">
        <v>394</v>
      </c>
      <c r="CM7" s="47" t="s">
        <v>395</v>
      </c>
      <c r="CN7" s="47" t="s">
        <v>396</v>
      </c>
      <c r="CO7" s="160" t="s">
        <v>41</v>
      </c>
      <c r="CP7" s="403"/>
      <c r="CQ7" s="240" t="s">
        <v>495</v>
      </c>
      <c r="CR7" s="47" t="s">
        <v>496</v>
      </c>
      <c r="CS7" s="47" t="s">
        <v>394</v>
      </c>
      <c r="CT7" s="47" t="s">
        <v>395</v>
      </c>
      <c r="CU7" s="47" t="s">
        <v>396</v>
      </c>
      <c r="CV7" s="160" t="s">
        <v>41</v>
      </c>
      <c r="CW7" s="403"/>
      <c r="CX7" s="240" t="s">
        <v>495</v>
      </c>
      <c r="CY7" s="47" t="s">
        <v>496</v>
      </c>
      <c r="CZ7" s="47" t="s">
        <v>394</v>
      </c>
      <c r="DA7" s="47" t="s">
        <v>395</v>
      </c>
      <c r="DB7" s="47" t="s">
        <v>396</v>
      </c>
      <c r="DC7" s="160" t="s">
        <v>41</v>
      </c>
      <c r="DD7" s="403"/>
      <c r="DE7" s="240" t="s">
        <v>495</v>
      </c>
      <c r="DF7" s="47" t="s">
        <v>496</v>
      </c>
      <c r="DG7" s="47" t="s">
        <v>394</v>
      </c>
      <c r="DH7" s="47" t="s">
        <v>395</v>
      </c>
      <c r="DI7" s="47" t="s">
        <v>396</v>
      </c>
      <c r="DJ7" s="160" t="s">
        <v>41</v>
      </c>
      <c r="DK7" s="403"/>
      <c r="DL7" s="240" t="s">
        <v>495</v>
      </c>
      <c r="DM7" s="47" t="s">
        <v>496</v>
      </c>
      <c r="DN7" s="47" t="s">
        <v>394</v>
      </c>
      <c r="DO7" s="47" t="s">
        <v>395</v>
      </c>
      <c r="DP7" s="47" t="s">
        <v>396</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500</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7" t="s">
        <v>499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AL27" sqref="AL2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מבטחים מוסד לביטוח סוציאלי של העובדים בע"מ</v>
      </c>
    </row>
    <row r="3" spans="1:39" ht="15.75" x14ac:dyDescent="0.25">
      <c r="B3" s="183" t="str">
        <f>CONCATENATE(הוראות!Z13,הוראות!F13)</f>
        <v>הנתונים ביחידות בודדות לשנת 2020</v>
      </c>
    </row>
    <row r="4" spans="1:39" ht="12.75" customHeight="1" x14ac:dyDescent="0.2">
      <c r="B4" s="182" t="s">
        <v>425</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531</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1379</v>
      </c>
      <c r="AF10" s="179"/>
      <c r="AG10" s="177"/>
      <c r="AH10" s="177"/>
      <c r="AI10" s="177"/>
      <c r="AJ10" s="177"/>
      <c r="AK10" s="178"/>
    </row>
    <row r="11" spans="1:39" ht="12.75" customHeight="1" x14ac:dyDescent="0.2">
      <c r="A11" s="166">
        <f>A10+1</f>
        <v>2</v>
      </c>
      <c r="B11" s="167" t="s">
        <v>75</v>
      </c>
      <c r="C11" s="318">
        <v>766</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1422</v>
      </c>
      <c r="AF11" s="179"/>
      <c r="AG11" s="177"/>
      <c r="AH11" s="177"/>
      <c r="AI11" s="177"/>
      <c r="AJ11" s="177"/>
      <c r="AK11" s="178"/>
    </row>
    <row r="12" spans="1:39" x14ac:dyDescent="0.2">
      <c r="A12" s="166">
        <v>3</v>
      </c>
      <c r="B12" s="167" t="s">
        <v>498</v>
      </c>
      <c r="C12" s="250">
        <f>SUM(D12:I12)</f>
        <v>838</v>
      </c>
      <c r="D12" s="314">
        <v>426</v>
      </c>
      <c r="E12" s="308">
        <v>107</v>
      </c>
      <c r="F12" s="314">
        <v>175</v>
      </c>
      <c r="G12" s="314">
        <v>93</v>
      </c>
      <c r="H12" s="314">
        <v>27</v>
      </c>
      <c r="I12" s="315">
        <v>10</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1803</v>
      </c>
      <c r="AF12" s="314">
        <v>228</v>
      </c>
      <c r="AG12" s="308">
        <v>810</v>
      </c>
      <c r="AH12" s="314">
        <v>690</v>
      </c>
      <c r="AI12" s="314">
        <v>69</v>
      </c>
      <c r="AJ12" s="314">
        <v>5</v>
      </c>
      <c r="AK12" s="315">
        <v>1</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34</v>
      </c>
      <c r="D14" s="314">
        <v>8</v>
      </c>
      <c r="E14" s="308">
        <v>3</v>
      </c>
      <c r="F14" s="314">
        <v>9</v>
      </c>
      <c r="G14" s="314">
        <v>2</v>
      </c>
      <c r="H14" s="314">
        <v>2</v>
      </c>
      <c r="I14" s="315">
        <v>10</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21</v>
      </c>
      <c r="AF14" s="314">
        <v>4</v>
      </c>
      <c r="AG14" s="308">
        <v>1</v>
      </c>
      <c r="AH14" s="314">
        <v>6</v>
      </c>
      <c r="AI14" s="314">
        <v>10</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2</v>
      </c>
      <c r="D16" s="314"/>
      <c r="E16" s="308"/>
      <c r="F16" s="314">
        <v>1</v>
      </c>
      <c r="G16" s="314">
        <v>1</v>
      </c>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3</v>
      </c>
      <c r="AF16" s="314">
        <v>1</v>
      </c>
      <c r="AG16" s="308"/>
      <c r="AH16" s="314">
        <v>2</v>
      </c>
      <c r="AI16" s="314"/>
      <c r="AJ16" s="314"/>
      <c r="AK16" s="315"/>
    </row>
    <row r="17" spans="1:37" ht="12.75" customHeight="1" x14ac:dyDescent="0.2">
      <c r="A17" s="166">
        <v>7</v>
      </c>
      <c r="B17" s="170" t="s">
        <v>521</v>
      </c>
      <c r="C17" s="250">
        <f t="shared" ref="C17:AG17" si="0">SUM(C12:C16)</f>
        <v>874</v>
      </c>
      <c r="D17" s="233">
        <f t="shared" si="0"/>
        <v>434</v>
      </c>
      <c r="E17" s="32">
        <f t="shared" si="0"/>
        <v>110</v>
      </c>
      <c r="F17" s="29">
        <f t="shared" si="0"/>
        <v>185</v>
      </c>
      <c r="G17" s="29">
        <f t="shared" si="0"/>
        <v>96</v>
      </c>
      <c r="H17" s="29">
        <f t="shared" si="0"/>
        <v>29</v>
      </c>
      <c r="I17" s="33">
        <f t="shared" si="0"/>
        <v>20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1827</v>
      </c>
      <c r="AF17" s="31">
        <f t="shared" si="0"/>
        <v>233</v>
      </c>
      <c r="AG17" s="32">
        <f t="shared" si="0"/>
        <v>811</v>
      </c>
      <c r="AH17" s="29">
        <f t="shared" ref="AH17" si="1">SUM(AH12:AH16)</f>
        <v>698</v>
      </c>
      <c r="AI17" s="29">
        <f>SUM(AI12:AI16)</f>
        <v>79</v>
      </c>
      <c r="AJ17" s="29">
        <f>SUM(AJ12:AJ16)</f>
        <v>5</v>
      </c>
      <c r="AK17" s="180">
        <f>SUM(AK12:AK16)</f>
        <v>1</v>
      </c>
    </row>
    <row r="18" spans="1:37" x14ac:dyDescent="0.2">
      <c r="A18" s="166">
        <v>8</v>
      </c>
      <c r="B18" s="167" t="s">
        <v>524</v>
      </c>
      <c r="C18" s="250">
        <f>IF(C10+C11-C17=0,0,C10+C11-C17)</f>
        <v>423</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974</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37</v>
      </c>
      <c r="AF24" s="314"/>
      <c r="AG24" s="308">
        <v>5</v>
      </c>
      <c r="AH24" s="314">
        <v>7</v>
      </c>
      <c r="AI24" s="314">
        <v>13</v>
      </c>
      <c r="AJ24" s="314">
        <v>7</v>
      </c>
      <c r="AK24" s="315">
        <v>5</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2</v>
      </c>
      <c r="D26" s="314"/>
      <c r="E26" s="308">
        <v>1</v>
      </c>
      <c r="F26" s="314"/>
      <c r="G26" s="314"/>
      <c r="H26" s="314"/>
      <c r="I26" s="315">
        <v>1</v>
      </c>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1</v>
      </c>
      <c r="AF26" s="314"/>
      <c r="AG26" s="308"/>
      <c r="AH26" s="314"/>
      <c r="AI26" s="314"/>
      <c r="AJ26" s="314">
        <v>1</v>
      </c>
      <c r="AK26" s="315"/>
    </row>
    <row r="27" spans="1:37" x14ac:dyDescent="0.2">
      <c r="A27" s="166">
        <v>4</v>
      </c>
      <c r="B27" s="167" t="s">
        <v>85</v>
      </c>
      <c r="C27" s="250">
        <f>SUM(D27:I27)</f>
        <v>6</v>
      </c>
      <c r="D27" s="314"/>
      <c r="E27" s="308"/>
      <c r="F27" s="314"/>
      <c r="G27" s="314">
        <v>3</v>
      </c>
      <c r="H27" s="314">
        <v>1</v>
      </c>
      <c r="I27" s="315">
        <v>2</v>
      </c>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5</v>
      </c>
      <c r="AF27" s="314"/>
      <c r="AG27" s="308"/>
      <c r="AH27" s="314"/>
      <c r="AI27" s="314">
        <v>3</v>
      </c>
      <c r="AJ27" s="314">
        <v>1</v>
      </c>
      <c r="AK27" s="315">
        <v>1</v>
      </c>
    </row>
    <row r="28" spans="1:37" x14ac:dyDescent="0.2">
      <c r="A28" s="171">
        <f>A27+1</f>
        <v>5</v>
      </c>
      <c r="B28" s="172" t="s">
        <v>86</v>
      </c>
      <c r="C28" s="251">
        <f t="shared" ref="C28:AF28" si="5">SUM(C24:C27)</f>
        <v>8</v>
      </c>
      <c r="D28" s="245">
        <f t="shared" si="5"/>
        <v>0</v>
      </c>
      <c r="E28" s="36">
        <f t="shared" si="5"/>
        <v>1</v>
      </c>
      <c r="F28" s="36">
        <f t="shared" si="5"/>
        <v>0</v>
      </c>
      <c r="G28" s="36">
        <f t="shared" si="5"/>
        <v>3</v>
      </c>
      <c r="H28" s="36">
        <f t="shared" si="5"/>
        <v>1</v>
      </c>
      <c r="I28" s="37">
        <f t="shared" si="5"/>
        <v>3</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43</v>
      </c>
      <c r="AF28" s="35">
        <f t="shared" si="5"/>
        <v>0</v>
      </c>
      <c r="AG28" s="36">
        <f t="shared" ref="AG28" si="6">SUM(AG24:AG27)</f>
        <v>5</v>
      </c>
      <c r="AH28" s="36">
        <f>SUM(AH24:AH27)</f>
        <v>7</v>
      </c>
      <c r="AI28" s="36">
        <f>SUM(AI24:AI27)</f>
        <v>16</v>
      </c>
      <c r="AJ28" s="36">
        <f>SUM(AJ24:AJ27)</f>
        <v>9</v>
      </c>
      <c r="AK28" s="38">
        <f>SUM(AK24:AK27)</f>
        <v>6</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0.95881006864988549</v>
      </c>
      <c r="D35" s="235">
        <f>IF((' פנסיוני א3'!D12+' פנסיוני א3'!K12)=0,0,(' פנסיוני א3'!D12+' פנסיוני א3'!K12)/(' פנסיוני א3'!$C$17+' פנסיוני א3'!$J$17))</f>
        <v>0.48741418764302058</v>
      </c>
      <c r="E35" s="235">
        <f>IF((' פנסיוני א3'!E12+' פנסיוני א3'!L12)=0,0,(' פנסיוני א3'!E12+' פנסיוני א3'!L12)/(' פנסיוני א3'!$C$17+' פנסיוני א3'!$J$17))</f>
        <v>0.12242562929061784</v>
      </c>
      <c r="F35" s="235">
        <f>IF((' פנסיוני א3'!F12+' פנסיוני א3'!M12)=0,0,(' פנסיוני א3'!F12+' פנסיוני א3'!M12)/(' פנסיוני א3'!$C$17+' פנסיוני א3'!$J$17))</f>
        <v>0.20022883295194507</v>
      </c>
      <c r="G35" s="235">
        <f>IF((' פנסיוני א3'!G12+' פנסיוני א3'!N12)=0,0,(' פנסיוני א3'!G12+' פנסיוני א3'!N12)/(' פנסיוני א3'!$C$17+' פנסיוני א3'!$J$17))</f>
        <v>0.10640732265446225</v>
      </c>
      <c r="H35" s="235">
        <f>IF((' פנסיוני א3'!H12+' פנסיוני א3'!O12)=0,0,(' פנסיוני א3'!H12+' פנסיוני א3'!O12)/(' פנסיוני א3'!$C$17+' פנסיוני א3'!$J$17))</f>
        <v>3.0892448512585814E-2</v>
      </c>
      <c r="I35" s="235">
        <f>IF((' פנסיוני א3'!I12+' פנסיוני א3'!P12)=0,0,(' פנסיוני א3'!I12+' פנסיוני א3'!P12)/(' פנסיוני א3'!$C$17+' פנסיוני א3'!$J$17))</f>
        <v>1.1441647597254004E-2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0.98686371100164194</v>
      </c>
      <c r="R35" s="235">
        <f>IF(' פנסיוני א3'!AF12=0,0,' פנסיוני א3'!AF12/' פנסיוני א3'!$AE$17)</f>
        <v>0.12479474548440066</v>
      </c>
      <c r="S35" s="235">
        <f>IF(' פנסיוני א3'!AG12=0,0,' פנסיוני א3'!AG12/' פנסיוני א3'!$AE$17)</f>
        <v>0.44334975369458129</v>
      </c>
      <c r="T35" s="235">
        <f>IF(' פנסיוני א3'!AH12=0,0,' פנסיוני א3'!AH12/' פנסיוני א3'!$AE$17)</f>
        <v>0.37766830870279144</v>
      </c>
      <c r="U35" s="235">
        <f>IF(' פנסיוני א3'!AI12=0,0,' פנסיוני א3'!AI12/' פנסיוני א3'!$AE$17)</f>
        <v>3.7766830870279149E-2</v>
      </c>
      <c r="V35" s="235">
        <f>IF(' פנסיוני א3'!AJ12=0,0,' פנסיוני א3'!AJ12/' פנסיוני א3'!$AE$17)</f>
        <v>2.7367268746579091E-3</v>
      </c>
      <c r="W35" s="239">
        <f>IF(' פנסיוני א3'!AK12=0,0,' פנסיוני א3'!AK12/' פנסיוני א3'!$AE$17)</f>
        <v>5.4734537493158185E-4</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3.8901601830663615E-2</v>
      </c>
      <c r="D37" s="79">
        <f>IF((' פנסיוני א3'!D14+' פנסיוני א3'!K14)=0,0,(' פנסיוני א3'!D14+' פנסיוני א3'!K14)/(' פנסיוני א3'!$C$17+' פנסיוני א3'!$J$17))</f>
        <v>9.1533180778032037E-3</v>
      </c>
      <c r="E37" s="79">
        <f>IF((' פנסיוני א3'!E14+' פנסיוני א3'!L14)=0,0,(' פנסיוני א3'!E14+' פנסיוני א3'!L14)/(' פנסיוני א3'!$C$17+' פנסיוני א3'!$J$17))</f>
        <v>3.4324942791762012E-3</v>
      </c>
      <c r="F37" s="79">
        <f>IF((' פנסיוני א3'!F14+' פנסיוני א3'!M14)=0,0,(' פנסיוני א3'!F14+' פנסיוני א3'!M14)/(' פנסיוני א3'!$C$17+' פנסיוני א3'!$J$17))</f>
        <v>1.0297482837528604E-2</v>
      </c>
      <c r="G37" s="79">
        <f>IF((' פנסיוני א3'!G14+' פנסיוני א3'!N14)=0,0,(' פנסיוני א3'!G14+' פנסיוני א3'!N14)/(' פנסיוני א3'!$C$17+' פנסיוני א3'!$J$17))</f>
        <v>2.2883295194508009E-3</v>
      </c>
      <c r="H37" s="79">
        <f>IF((' פנסיוני א3'!H14+' פנסיוני א3'!O14)=0,0,(' פנסיוני א3'!H14+' פנסיוני א3'!O14)/(' פנסיוני א3'!$C$17+' פנסיוני א3'!$J$17))</f>
        <v>2.2883295194508009E-3</v>
      </c>
      <c r="I37" s="79">
        <f>IF((' פנסיוני א3'!I14+' פנסיוני א3'!P14)=0,0,(' פנסיוני א3'!I14+' פנסיוני א3'!P14)/(' פנסיוני א3'!$C$17+' פנסיוני א3'!$J$17))</f>
        <v>1.1441647597254004E-2</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1.1494252873563218E-2</v>
      </c>
      <c r="R37" s="79">
        <f>IF(' פנסיוני א3'!AF14=0,0,' פנסיוני א3'!AF14/' פנסיוני א3'!$AE$17)</f>
        <v>2.1893814997263274E-3</v>
      </c>
      <c r="S37" s="79">
        <f>IF(' פנסיוני א3'!AG14=0,0,' פנסיוני א3'!AG14/' פנסיוני א3'!$AE$17)</f>
        <v>5.4734537493158185E-4</v>
      </c>
      <c r="T37" s="79">
        <f>IF(' פנסיוני א3'!AH14=0,0,' פנסיוני א3'!AH14/' פנסיוני א3'!$AE$17)</f>
        <v>3.2840722495894909E-3</v>
      </c>
      <c r="U37" s="79">
        <f>IF(' פנסיוני א3'!AI14=0,0,' פנסיוני א3'!AI14/' פנסיוני א3'!$AE$17)</f>
        <v>5.4734537493158182E-3</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2.2883295194508009E-3</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1.1441647597254005E-3</v>
      </c>
      <c r="G39" s="79">
        <f>IF((' פנסיוני א3'!G16+' פנסיוני א3'!N16)=0,0,(' פנסיוני א3'!G16+' פנסיוני א3'!N16)/(' פנסיוני א3'!$C$17+' פנסיוני א3'!$J$17))</f>
        <v>1.1441647597254005E-3</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1.6420361247947456E-3</v>
      </c>
      <c r="R39" s="79">
        <f>IF(' פנסיוני א3'!AF16=0,0,' פנסיוני א3'!AF16/' פנסיוני א3'!$AE$17)</f>
        <v>5.4734537493158185E-4</v>
      </c>
      <c r="S39" s="79">
        <f>IF(' פנסיוני א3'!AG16=0,0,' פנסיוני א3'!AG16/' פנסיוני א3'!$AE$17)</f>
        <v>0</v>
      </c>
      <c r="T39" s="79">
        <f>IF(' פנסיוני א3'!AH16=0,0,' פנסיוני א3'!AH16/' פנסיוני א3'!$AE$17)</f>
        <v>1.0946907498631637E-3</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0.99999999999999989</v>
      </c>
      <c r="D40" s="237">
        <f t="shared" ref="D40:I40" si="7">SUM(D35:D39)</f>
        <v>0.49656750572082381</v>
      </c>
      <c r="E40" s="237">
        <f t="shared" si="7"/>
        <v>0.12585812356979403</v>
      </c>
      <c r="F40" s="237">
        <f t="shared" si="7"/>
        <v>0.21167048054919907</v>
      </c>
      <c r="G40" s="237">
        <f t="shared" si="7"/>
        <v>0.10983981693363845</v>
      </c>
      <c r="H40" s="237">
        <f t="shared" si="7"/>
        <v>3.3180778032036617E-2</v>
      </c>
      <c r="I40" s="238">
        <f t="shared" si="7"/>
        <v>2.2883295194508008E-2</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0.12753147235905857</v>
      </c>
      <c r="S40" s="237">
        <f t="shared" si="9"/>
        <v>0.44389709906951286</v>
      </c>
      <c r="T40" s="237">
        <f t="shared" si="9"/>
        <v>0.38204707170224411</v>
      </c>
      <c r="U40" s="237">
        <f t="shared" si="9"/>
        <v>4.3240284619594969E-2</v>
      </c>
      <c r="V40" s="237">
        <f t="shared" si="9"/>
        <v>2.7367268746579091E-3</v>
      </c>
      <c r="W40" s="238">
        <f t="shared" si="9"/>
        <v>5.4734537493158185E-4</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0.86046511627906974</v>
      </c>
      <c r="R46" s="79">
        <f>IF(' פנסיוני א3'!AF24=0,0,' פנסיוני א3'!AF24/' פנסיוני א3'!$AE$28)</f>
        <v>0</v>
      </c>
      <c r="S46" s="79">
        <f>IF(' פנסיוני א3'!AG24=0,0,' פנסיוני א3'!AG24/' פנסיוני א3'!$AE$28)</f>
        <v>0.11627906976744186</v>
      </c>
      <c r="T46" s="79">
        <f>IF(' פנסיוני א3'!AH24=0,0,' פנסיוני א3'!AH24/' פנסיוני א3'!$AE$28)</f>
        <v>0.16279069767441862</v>
      </c>
      <c r="U46" s="79">
        <f>IF(' פנסיוני א3'!AI24=0,0,' פנסיוני א3'!AI24/' פנסיוני א3'!$AE$28)</f>
        <v>0.30232558139534882</v>
      </c>
      <c r="V46" s="79">
        <f>IF(' פנסיוני א3'!AJ24=0,0,' פנסיוני א3'!AJ24/' פנסיוני א3'!$AE$28)</f>
        <v>0.16279069767441862</v>
      </c>
      <c r="W46" s="81">
        <f>IF(' פנסיוני א3'!AK24=0,0,' פנסיוני א3'!AK24/' פנסיוני א3'!$AE$28)</f>
        <v>0.11627906976744186</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0.25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0.125</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0.125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2.3255813953488372E-2</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2.3255813953488372E-2</v>
      </c>
      <c r="W48" s="81">
        <f>IF(' פנסיוני א3'!AK26=0,0,' פנסיוני א3'!AK26/' פנסיוני א3'!$AE$28)</f>
        <v>0</v>
      </c>
    </row>
    <row r="49" spans="1:23" hidden="1" x14ac:dyDescent="0.2">
      <c r="A49" s="202">
        <v>4</v>
      </c>
      <c r="B49" s="203" t="s">
        <v>85</v>
      </c>
      <c r="C49" s="98">
        <f>SUM(D49:I49)</f>
        <v>0.75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0.375</v>
      </c>
      <c r="H49" s="79">
        <f>IF((' פנסיוני א3'!H27+' פנסיוני א3'!O27)=0,0,(' פנסיוני א3'!H27+' פנסיוני א3'!O27)/(' פנסיוני א3'!$C$28+' פנסיוני א3'!$J$28))</f>
        <v>0.125</v>
      </c>
      <c r="I49" s="79">
        <f>IF((' פנסיוני א3'!I27+' פנסיוני א3'!P27)=0,0,(' פנסיוני א3'!I27+' פנסיוני א3'!P27)/(' פנסיוני א3'!$C$28+' פנסיוני א3'!$J$28))</f>
        <v>0.25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0.11627906976744186</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6.9767441860465115E-2</v>
      </c>
      <c r="V49" s="79">
        <f>IF(' פנסיוני א3'!AJ27=0,0,' פנסיוני א3'!AJ27/' פנסיוני א3'!$AE$28)</f>
        <v>2.3255813953488372E-2</v>
      </c>
      <c r="W49" s="81">
        <f>IF(' פנסיוני א3'!AK27=0,0,' פנסיוני א3'!AK27/' פנסיוני א3'!$AE$28)</f>
        <v>2.3255813953488372E-2</v>
      </c>
    </row>
    <row r="50" spans="1:23" ht="13.5" hidden="1" thickBot="1" x14ac:dyDescent="0.25">
      <c r="A50" s="207">
        <v>5</v>
      </c>
      <c r="B50" s="208" t="s">
        <v>86</v>
      </c>
      <c r="C50" s="100">
        <f>SUM(C46:C49)</f>
        <v>1</v>
      </c>
      <c r="D50" s="103">
        <f t="shared" ref="D50:W50" si="11">SUM(D46:D49)</f>
        <v>0</v>
      </c>
      <c r="E50" s="103">
        <f t="shared" si="11"/>
        <v>0.125</v>
      </c>
      <c r="F50" s="103">
        <f t="shared" si="11"/>
        <v>0</v>
      </c>
      <c r="G50" s="103">
        <f t="shared" si="11"/>
        <v>0.375</v>
      </c>
      <c r="H50" s="103">
        <f t="shared" si="11"/>
        <v>0.125</v>
      </c>
      <c r="I50" s="102">
        <f t="shared" si="11"/>
        <v>0.375</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0.11627906976744186</v>
      </c>
      <c r="T50" s="103">
        <f t="shared" si="11"/>
        <v>0.16279069767441862</v>
      </c>
      <c r="U50" s="103">
        <f t="shared" si="11"/>
        <v>0.37209302325581395</v>
      </c>
      <c r="V50" s="103">
        <f t="shared" si="11"/>
        <v>0.20930232558139533</v>
      </c>
      <c r="W50" s="102">
        <f t="shared" si="11"/>
        <v>0.13953488372093023</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מבטחים מוסד לביטוח סוציאלי של העובדים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500</v>
      </c>
      <c r="C11" s="438"/>
      <c r="D11" s="439"/>
      <c r="E11" s="234">
        <f>SUM(F11:K11)</f>
        <v>0.95881006864988549</v>
      </c>
      <c r="F11" s="235">
        <f>IF((' פנסיוני א3'!D12+' פנסיוני א3'!K12)=0,0,(' פנסיוני א3'!D12+' פנסיוני א3'!K12)/(' פנסיוני א3'!$C$17+' פנסיוני א3'!$J$17))</f>
        <v>0.48741418764302058</v>
      </c>
      <c r="G11" s="235">
        <f>IF((' פנסיוני א3'!E12+' פנסיוני א3'!L12)=0,0,(' פנסיוני א3'!E12+' פנסיוני א3'!L12)/(' פנסיוני א3'!$C$17+' פנסיוני א3'!$J$17))</f>
        <v>0.12242562929061784</v>
      </c>
      <c r="H11" s="235">
        <f>IF((' פנסיוני א3'!F12+' פנסיוני א3'!M12)=0,0,(' פנסיוני א3'!F12+' פנסיוני א3'!M12)/(' פנסיוני א3'!$C$17+' פנסיוני א3'!$J$17))</f>
        <v>0.20022883295194507</v>
      </c>
      <c r="I11" s="235">
        <f>IF((' פנסיוני א3'!G12+' פנסיוני א3'!N12)=0,0,(' פנסיוני א3'!G12+' פנסיוני א3'!N12)/(' פנסיוני א3'!$C$17+' פנסיוני א3'!$J$17))</f>
        <v>0.10640732265446225</v>
      </c>
      <c r="J11" s="235">
        <f>IF((' פנסיוני א3'!H12+' פנסיוני א3'!O12)=0,0,(' פנסיוני א3'!H12+' פנסיוני א3'!O12)/(' פנסיוני א3'!$C$17+' פנסיוני א3'!$J$17))</f>
        <v>3.0892448512585814E-2</v>
      </c>
      <c r="K11" s="235">
        <f>IF((' פנסיוני א3'!I12+' פנסיוני א3'!P12)=0,0,(' פנסיוני א3'!I12+' פנסיוני א3'!P12)/(' פנסיוני א3'!$C$17+' פנסיוני א3'!$J$17))</f>
        <v>1.1441647597254004E-2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0.98686371100164194</v>
      </c>
      <c r="T11" s="235">
        <f>IF(' פנסיוני א3'!AF12=0,0,' פנסיוני א3'!AF12/' פנסיוני א3'!$AE$17)</f>
        <v>0.12479474548440066</v>
      </c>
      <c r="U11" s="235">
        <f>IF(' פנסיוני א3'!AG12=0,0,' פנסיוני א3'!AG12/' פנסיוני א3'!$AE$17)</f>
        <v>0.44334975369458129</v>
      </c>
      <c r="V11" s="235">
        <f>IF(' פנסיוני א3'!AH12=0,0,' פנסיוני א3'!AH12/' פנסיוני א3'!$AE$17)</f>
        <v>0.37766830870279144</v>
      </c>
      <c r="W11" s="235">
        <f>IF(' פנסיוני א3'!AI12=0,0,' פנסיוני א3'!AI12/' פנסיוני א3'!$AE$17)</f>
        <v>3.7766830870279149E-2</v>
      </c>
      <c r="X11" s="235">
        <f>IF(' פנסיוני א3'!AJ12=0,0,' פנסיוני א3'!AJ12/' פנסיוני א3'!$AE$17)</f>
        <v>2.7367268746579091E-3</v>
      </c>
      <c r="Y11" s="239">
        <f>IF(' פנסיוני א3'!AK12=0,0,' פנסיוני א3'!AK12/' פנסיוני א3'!$AE$17)</f>
        <v>5.4734537493158185E-4</v>
      </c>
    </row>
    <row r="12" spans="1:28" x14ac:dyDescent="0.2">
      <c r="A12" s="300" t="s">
        <v>522</v>
      </c>
      <c r="B12" s="437" t="s">
        <v>499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3.8901601830663615E-2</v>
      </c>
      <c r="F13" s="79">
        <f>IF((' פנסיוני א3'!D14+' פנסיוני א3'!K14)=0,0,(' פנסיוני א3'!D14+' פנסיוני א3'!K14)/(' פנסיוני א3'!$C$17+' פנסיוני א3'!$J$17))</f>
        <v>9.1533180778032037E-3</v>
      </c>
      <c r="G13" s="79">
        <f>IF((' פנסיוני א3'!E14+' פנסיוני א3'!L14)=0,0,(' פנסיוני א3'!E14+' פנסיוני א3'!L14)/(' פנסיוני א3'!$C$17+' פנסיוני א3'!$J$17))</f>
        <v>3.4324942791762012E-3</v>
      </c>
      <c r="H13" s="79">
        <f>IF((' פנסיוני א3'!F14+' פנסיוני א3'!M14)=0,0,(' פנסיוני א3'!F14+' פנסיוני א3'!M14)/(' פנסיוני א3'!$C$17+' פנסיוני א3'!$J$17))</f>
        <v>1.0297482837528604E-2</v>
      </c>
      <c r="I13" s="79">
        <f>IF((' פנסיוני א3'!G14+' פנסיוני א3'!N14)=0,0,(' פנסיוני א3'!G14+' פנסיוני א3'!N14)/(' פנסיוני א3'!$C$17+' פנסיוני א3'!$J$17))</f>
        <v>2.2883295194508009E-3</v>
      </c>
      <c r="J13" s="79">
        <f>IF((' פנסיוני א3'!H14+' פנסיוני א3'!O14)=0,0,(' פנסיוני א3'!H14+' פנסיוני א3'!O14)/(' פנסיוני א3'!$C$17+' פנסיוני א3'!$J$17))</f>
        <v>2.2883295194508009E-3</v>
      </c>
      <c r="K13" s="79">
        <f>IF((' פנסיוני א3'!I14+' פנסיוני א3'!P14)=0,0,(' פנסיוני א3'!I14+' פנסיוני א3'!P14)/(' פנסיוני א3'!$C$17+' פנסיוני א3'!$J$17))</f>
        <v>1.1441647597254004E-2</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1.1494252873563218E-2</v>
      </c>
      <c r="T13" s="79">
        <f>IF(' פנסיוני א3'!AF14=0,0,' פנסיוני א3'!AF14/' פנסיוני א3'!$AE$17)</f>
        <v>2.1893814997263274E-3</v>
      </c>
      <c r="U13" s="79">
        <f>IF(' פנסיוני א3'!AG14=0,0,' פנסיוני א3'!AG14/' פנסיוני א3'!$AE$17)</f>
        <v>5.4734537493158185E-4</v>
      </c>
      <c r="V13" s="79">
        <f>IF(' פנסיוני א3'!AH14=0,0,' פנסיוני א3'!AH14/' פנסיוני א3'!$AE$17)</f>
        <v>3.2840722495894909E-3</v>
      </c>
      <c r="W13" s="79">
        <f>IF(' פנסיוני א3'!AI14=0,0,' פנסיוני א3'!AI14/' פנסיוני א3'!$AE$17)</f>
        <v>5.4734537493158182E-3</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2.2883295194508009E-3</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1.1441647597254005E-3</v>
      </c>
      <c r="I15" s="79">
        <f>IF((' פנסיוני א3'!G16+' פנסיוני א3'!N16)=0,0,(' פנסיוני א3'!G16+' פנסיוני א3'!N16)/(' פנסיוני א3'!$C$17+' פנסיוני א3'!$J$17))</f>
        <v>1.1441647597254005E-3</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1.6420361247947456E-3</v>
      </c>
      <c r="T15" s="79">
        <f>IF(' פנסיוני א3'!AF16=0,0,' פנסיוני א3'!AF16/' פנסיוני א3'!$AE$17)</f>
        <v>5.4734537493158185E-4</v>
      </c>
      <c r="U15" s="79">
        <f>IF(' פנסיוני א3'!AG16=0,0,' פנסיוני א3'!AG16/' פנסיוני א3'!$AE$17)</f>
        <v>0</v>
      </c>
      <c r="V15" s="79">
        <f>IF(' פנסיוני א3'!AH16=0,0,' פנסיוני א3'!AH16/' פנסיוני א3'!$AE$17)</f>
        <v>1.0946907498631637E-3</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0.99999999999999989</v>
      </c>
      <c r="F16" s="237">
        <f t="shared" ref="F16:K16" si="0">SUM(F11:F15)</f>
        <v>0.49656750572082381</v>
      </c>
      <c r="G16" s="237">
        <f t="shared" si="0"/>
        <v>0.12585812356979403</v>
      </c>
      <c r="H16" s="237">
        <f t="shared" si="0"/>
        <v>0.21167048054919907</v>
      </c>
      <c r="I16" s="237">
        <f t="shared" si="0"/>
        <v>0.10983981693363845</v>
      </c>
      <c r="J16" s="237">
        <f t="shared" si="0"/>
        <v>3.3180778032036617E-2</v>
      </c>
      <c r="K16" s="238">
        <f t="shared" si="0"/>
        <v>2.2883295194508008E-2</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0.12753147235905857</v>
      </c>
      <c r="U16" s="237">
        <f t="shared" si="2"/>
        <v>0.44389709906951286</v>
      </c>
      <c r="V16" s="237">
        <f t="shared" si="2"/>
        <v>0.38204707170224411</v>
      </c>
      <c r="W16" s="237">
        <f t="shared" si="2"/>
        <v>4.3240284619594969E-2</v>
      </c>
      <c r="X16" s="237">
        <f t="shared" si="2"/>
        <v>2.7367268746579091E-3</v>
      </c>
      <c r="Y16" s="238">
        <f t="shared" si="2"/>
        <v>5.4734537493158185E-4</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446</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0.86046511627906974</v>
      </c>
      <c r="T22" s="79">
        <f>IF(' פנסיוני א3'!AF24=0,0,' פנסיוני א3'!AF24/' פנסיוני א3'!$AE$28)</f>
        <v>0</v>
      </c>
      <c r="U22" s="79">
        <f>IF(' פנסיוני א3'!AG24=0,0,' פנסיוני א3'!AG24/' פנסיוני א3'!$AE$28)</f>
        <v>0.11627906976744186</v>
      </c>
      <c r="V22" s="79">
        <f>IF(' פנסיוני א3'!AH24=0,0,' פנסיוני א3'!AH24/' פנסיוני א3'!$AE$28)</f>
        <v>0.16279069767441862</v>
      </c>
      <c r="W22" s="79">
        <f>IF(' פנסיוני א3'!AI24=0,0,' פנסיוני א3'!AI24/' פנסיוני א3'!$AE$28)</f>
        <v>0.30232558139534882</v>
      </c>
      <c r="X22" s="79">
        <f>IF(' פנסיוני א3'!AJ24=0,0,' פנסיוני א3'!AJ24/' פנסיוני א3'!$AE$28)</f>
        <v>0.16279069767441862</v>
      </c>
      <c r="Y22" s="81">
        <f>IF(' פנסיוני א3'!AK24=0,0,' פנסיוני א3'!AK24/' פנסיוני א3'!$AE$28)</f>
        <v>0.11627906976744186</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0.25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0.125</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0.125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2.3255813953488372E-2</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2.3255813953488372E-2</v>
      </c>
      <c r="Y24" s="81">
        <f>IF(' פנסיוני א3'!AK26=0,0,' פנסיוני א3'!AK26/' פנסיוני א3'!$AE$28)</f>
        <v>0</v>
      </c>
    </row>
    <row r="25" spans="1:25" x14ac:dyDescent="0.2">
      <c r="A25" s="202">
        <v>4</v>
      </c>
      <c r="B25" s="466" t="s">
        <v>85</v>
      </c>
      <c r="C25" s="467"/>
      <c r="D25" s="471"/>
      <c r="E25" s="98">
        <f>SUM(F25:K25)</f>
        <v>0.75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0.375</v>
      </c>
      <c r="J25" s="79">
        <f>IF((' פנסיוני א3'!H27+' פנסיוני א3'!O27)=0,0,(' פנסיוני א3'!H27+' פנסיוני א3'!O27)/(' פנסיוני א3'!$C$28+' פנסיוני א3'!$J$28))</f>
        <v>0.125</v>
      </c>
      <c r="K25" s="79">
        <f>IF((' פנסיוני א3'!I27+' פנסיוני א3'!P27)=0,0,(' פנסיוני א3'!I27+' פנסיוני א3'!P27)/(' פנסיוני א3'!$C$28+' פנסיוני א3'!$J$28))</f>
        <v>0.25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0.11627906976744186</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6.9767441860465115E-2</v>
      </c>
      <c r="X25" s="79">
        <f>IF(' פנסיוני א3'!AJ27=0,0,' פנסיוני א3'!AJ27/' פנסיוני א3'!$AE$28)</f>
        <v>2.3255813953488372E-2</v>
      </c>
      <c r="Y25" s="81">
        <f>IF(' פנסיוני א3'!AK27=0,0,' פנסיוני א3'!AK27/' פנסיוני א3'!$AE$28)</f>
        <v>2.3255813953488372E-2</v>
      </c>
    </row>
    <row r="26" spans="1:25" ht="13.5" thickBot="1" x14ac:dyDescent="0.25">
      <c r="A26" s="207">
        <v>5</v>
      </c>
      <c r="B26" s="472" t="s">
        <v>86</v>
      </c>
      <c r="C26" s="473"/>
      <c r="D26" s="474"/>
      <c r="E26" s="100">
        <f>SUM(E22:E25)</f>
        <v>1</v>
      </c>
      <c r="F26" s="103">
        <f t="shared" ref="F26:Y26" si="5">SUM(F22:F25)</f>
        <v>0</v>
      </c>
      <c r="G26" s="103">
        <f t="shared" si="5"/>
        <v>0.125</v>
      </c>
      <c r="H26" s="103">
        <f t="shared" si="5"/>
        <v>0</v>
      </c>
      <c r="I26" s="103">
        <f t="shared" si="5"/>
        <v>0.375</v>
      </c>
      <c r="J26" s="103">
        <f t="shared" si="5"/>
        <v>0.125</v>
      </c>
      <c r="K26" s="102">
        <f t="shared" si="5"/>
        <v>0.375</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0.11627906976744186</v>
      </c>
      <c r="V26" s="103">
        <f t="shared" si="5"/>
        <v>0.16279069767441862</v>
      </c>
      <c r="W26" s="103">
        <f t="shared" si="5"/>
        <v>0.37209302325581395</v>
      </c>
      <c r="X26" s="103">
        <f t="shared" si="5"/>
        <v>0.20930232558139533</v>
      </c>
      <c r="Y26" s="102">
        <f t="shared" si="5"/>
        <v>0.13953488372093023</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elements/1.1/"/>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http://schemas.microsoft.com/office/2006/metadata/properties"/>
    <ds:schemaRef ds:uri="http://schemas.openxmlformats.org/package/2006/metadata/core-properties"/>
    <ds:schemaRef ds:uri="a46656d4-8850-49b3-aebd-68bd05f7f43d"/>
    <ds:schemaRef ds:uri="http://purl.org/dc/dcmityp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