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U47" i="5"/>
  <c r="W47" i="5"/>
  <c r="S48" i="5"/>
  <c r="T48" i="5"/>
  <c r="U48" i="5"/>
  <c r="V48" i="5"/>
  <c r="W48" i="5"/>
  <c r="T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W35" i="5"/>
  <c r="S36" i="5"/>
  <c r="T36" i="5"/>
  <c r="U36" i="5"/>
  <c r="V36" i="5"/>
  <c r="W36"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6" i="5"/>
  <c r="C27" i="5"/>
  <c r="E46" i="5"/>
  <c r="F46" i="5"/>
  <c r="G46" i="5"/>
  <c r="H46" i="5"/>
  <c r="I46" i="5"/>
  <c r="E47" i="5"/>
  <c r="F47" i="5"/>
  <c r="C47" i="5" s="1"/>
  <c r="G47" i="5"/>
  <c r="H47" i="5"/>
  <c r="I47" i="5"/>
  <c r="E48" i="5"/>
  <c r="G48" i="5"/>
  <c r="H48" i="5"/>
  <c r="I48" i="5"/>
  <c r="E49" i="5"/>
  <c r="F49" i="5"/>
  <c r="H49" i="5"/>
  <c r="I49" i="5"/>
  <c r="D47" i="5"/>
  <c r="D48" i="5"/>
  <c r="D49" i="5"/>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E38" i="5"/>
  <c r="F38" i="5"/>
  <c r="G38" i="5"/>
  <c r="H38" i="5"/>
  <c r="I38" i="5"/>
  <c r="F39" i="5"/>
  <c r="G39" i="5"/>
  <c r="H39" i="5"/>
  <c r="I39" i="5"/>
  <c r="D36"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I22"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3" i="26"/>
  <c r="V23" i="26"/>
  <c r="Q23" i="26" s="1"/>
  <c r="T22"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V14" i="26"/>
  <c r="U13" i="26"/>
  <c r="U14" i="26"/>
  <c r="T13" i="26"/>
  <c r="V12" i="26"/>
  <c r="S14" i="26"/>
  <c r="N14" i="26"/>
  <c r="O13" i="26"/>
  <c r="H18" i="26"/>
  <c r="J17" i="26"/>
  <c r="H17" i="26"/>
  <c r="G18" i="26"/>
  <c r="I17" i="26"/>
  <c r="J18" i="26"/>
  <c r="I18" i="26"/>
  <c r="G17" i="26"/>
  <c r="J14" i="26"/>
  <c r="G13" i="26"/>
  <c r="F13" i="26"/>
  <c r="G14" i="26"/>
  <c r="I14" i="26"/>
  <c r="J13" i="26"/>
  <c r="H14"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Y11" i="10"/>
  <c r="U12" i="10"/>
  <c r="V12" i="10"/>
  <c r="W12" i="10"/>
  <c r="X12" i="10"/>
  <c r="Y12" i="10"/>
  <c r="X13" i="10"/>
  <c r="Y13" i="10"/>
  <c r="U14" i="10"/>
  <c r="V14" i="10"/>
  <c r="W14" i="10"/>
  <c r="X14" i="10"/>
  <c r="Y14" i="10"/>
  <c r="V15" i="10"/>
  <c r="W15" i="10"/>
  <c r="X15" i="10"/>
  <c r="Y15" i="10"/>
  <c r="Y19" i="10"/>
  <c r="X19" i="10"/>
  <c r="W19" i="10"/>
  <c r="V19" i="10"/>
  <c r="U19" i="10"/>
  <c r="T19" i="10"/>
  <c r="Y18" i="10"/>
  <c r="Y20" i="10" s="1"/>
  <c r="X18" i="10"/>
  <c r="W18" i="10"/>
  <c r="W20" i="10"/>
  <c r="V18" i="10"/>
  <c r="U18" i="10"/>
  <c r="S18" i="10" s="1"/>
  <c r="Y25" i="10"/>
  <c r="X25" i="10"/>
  <c r="V25" i="10"/>
  <c r="T25" i="10"/>
  <c r="Y24" i="10"/>
  <c r="X24" i="10"/>
  <c r="W24" i="10"/>
  <c r="V24" i="10"/>
  <c r="U24" i="10"/>
  <c r="T24" i="10"/>
  <c r="S24" i="10" s="1"/>
  <c r="Y23" i="10"/>
  <c r="W23" i="10"/>
  <c r="V23" i="10"/>
  <c r="U23" i="10"/>
  <c r="T23" i="10"/>
  <c r="T20" i="10"/>
  <c r="T12"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H25" i="10"/>
  <c r="G25" i="10"/>
  <c r="F25" i="10"/>
  <c r="K24" i="10"/>
  <c r="I24" i="10"/>
  <c r="G24" i="10"/>
  <c r="F24" i="10"/>
  <c r="K23" i="10"/>
  <c r="K26" i="10" s="1"/>
  <c r="J23" i="10"/>
  <c r="I23" i="10"/>
  <c r="H23" i="10"/>
  <c r="G23" i="10"/>
  <c r="E23" i="10" s="1"/>
  <c r="F23" i="10"/>
  <c r="K22" i="10"/>
  <c r="J22" i="10"/>
  <c r="I22" i="10"/>
  <c r="H22" i="10"/>
  <c r="G22" i="10"/>
  <c r="K19" i="10"/>
  <c r="J19" i="10"/>
  <c r="J20" i="10" s="1"/>
  <c r="I19" i="10"/>
  <c r="H19" i="10"/>
  <c r="G19" i="10"/>
  <c r="F19" i="10"/>
  <c r="F20" i="10" s="1"/>
  <c r="K18" i="10"/>
  <c r="J18" i="10"/>
  <c r="I18" i="10"/>
  <c r="I20" i="10"/>
  <c r="H18" i="10"/>
  <c r="H20" i="10"/>
  <c r="G18" i="10"/>
  <c r="G12" i="10"/>
  <c r="H12" i="10"/>
  <c r="I12" i="10"/>
  <c r="J12" i="10"/>
  <c r="K12" i="10"/>
  <c r="G14" i="10"/>
  <c r="H14" i="10"/>
  <c r="I14" i="10"/>
  <c r="J14" i="10"/>
  <c r="K14"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G10" i="19" s="1"/>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O10" i="19"/>
  <c r="J10" i="19"/>
  <c r="M10" i="19"/>
  <c r="K10" i="19"/>
  <c r="N10" i="19"/>
  <c r="P10" i="19"/>
  <c r="K15" i="8"/>
  <c r="I15" i="8"/>
  <c r="H15" i="8"/>
  <c r="K14" i="8"/>
  <c r="J15" i="8"/>
  <c r="I14" i="8"/>
  <c r="J14" i="8"/>
  <c r="H13" i="8"/>
  <c r="J13" i="8"/>
  <c r="I13" i="8"/>
  <c r="K13" i="8"/>
  <c r="T10" i="21"/>
  <c r="Q10" i="12"/>
  <c r="S10" i="12"/>
  <c r="U10" i="12"/>
  <c r="T10" i="12"/>
  <c r="P20" i="10"/>
  <c r="J10" i="22"/>
  <c r="F10" i="22"/>
  <c r="C10" i="22"/>
  <c r="C22" i="13"/>
  <c r="K106" i="13"/>
  <c r="I25" i="26"/>
  <c r="K11" i="26"/>
  <c r="H19" i="26"/>
  <c r="K21" i="26"/>
  <c r="M25" i="26"/>
  <c r="P25" i="26"/>
  <c r="K24" i="26"/>
  <c r="K23" i="26"/>
  <c r="G26" i="10"/>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E50" i="5"/>
  <c r="I50" i="5"/>
  <c r="E13" i="26" l="1"/>
  <c r="C17" i="5"/>
  <c r="C36" i="5"/>
  <c r="Q13" i="26"/>
  <c r="S12" i="10"/>
  <c r="Y16" i="10"/>
  <c r="S14" i="10"/>
  <c r="AE17" i="5"/>
  <c r="W40" i="5"/>
  <c r="R50" i="5"/>
  <c r="AE28" i="5"/>
  <c r="C28" i="5"/>
  <c r="F26" i="10"/>
  <c r="F10" i="19"/>
  <c r="I10" i="19"/>
  <c r="I10" i="11"/>
  <c r="D10" i="11"/>
  <c r="G10" i="11"/>
  <c r="H10" i="11"/>
  <c r="F10" i="11"/>
  <c r="D15" i="17"/>
  <c r="C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G13" i="10"/>
  <c r="E14"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8"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J11" i="26" l="1"/>
  <c r="I35" i="5"/>
  <c r="K11" i="10"/>
  <c r="J11" i="10"/>
  <c r="H35" i="5"/>
  <c r="I11" i="26"/>
  <c r="G35" i="5"/>
  <c r="H11" i="26"/>
  <c r="I11" i="10"/>
  <c r="H11" i="10"/>
  <c r="F35" i="5"/>
  <c r="G11" i="26"/>
  <c r="F14" i="26"/>
  <c r="E14" i="26" s="1"/>
  <c r="G11" i="10"/>
  <c r="E35" i="5"/>
  <c r="E37" i="5"/>
  <c r="F11" i="26"/>
  <c r="E11" i="26" s="1"/>
  <c r="F11" i="10"/>
  <c r="D35" i="5"/>
  <c r="E39" i="5"/>
  <c r="C39" i="5" s="1"/>
  <c r="I37" i="5"/>
  <c r="I40" i="5" s="1"/>
  <c r="K13" i="10"/>
  <c r="K16" i="10" s="1"/>
  <c r="J12" i="26"/>
  <c r="H37" i="5"/>
  <c r="J13" i="10"/>
  <c r="J16" i="10" s="1"/>
  <c r="I12" i="26"/>
  <c r="I15" i="26" s="1"/>
  <c r="G15" i="10"/>
  <c r="E15" i="10" s="1"/>
  <c r="G37" i="5"/>
  <c r="I13" i="10"/>
  <c r="I16" i="10" s="1"/>
  <c r="H12" i="26"/>
  <c r="H15" i="26" s="1"/>
  <c r="C18" i="5"/>
  <c r="F37" i="5"/>
  <c r="G12" i="26"/>
  <c r="G15" i="26" s="1"/>
  <c r="H13" i="10"/>
  <c r="H16" i="10" s="1"/>
  <c r="F13" i="10"/>
  <c r="D37" i="5"/>
  <c r="U11" i="26"/>
  <c r="U15" i="26" s="1"/>
  <c r="X11" i="10"/>
  <c r="X16" i="10" s="1"/>
  <c r="V35" i="5"/>
  <c r="V40" i="5" s="1"/>
  <c r="T11" i="26"/>
  <c r="W11" i="10"/>
  <c r="U35" i="5"/>
  <c r="V11" i="10"/>
  <c r="T35" i="5"/>
  <c r="S11" i="26"/>
  <c r="U11" i="10"/>
  <c r="S35" i="5"/>
  <c r="R35" i="5"/>
  <c r="R11" i="26"/>
  <c r="T11" i="10"/>
  <c r="R37" i="5"/>
  <c r="T13" i="10"/>
  <c r="T16" i="10" s="1"/>
  <c r="T12" i="26"/>
  <c r="U37" i="5"/>
  <c r="U40" i="5" s="1"/>
  <c r="W13" i="10"/>
  <c r="S12" i="26"/>
  <c r="V13" i="10"/>
  <c r="T37" i="5"/>
  <c r="S39" i="5"/>
  <c r="Q39" i="5" s="1"/>
  <c r="AE18" i="5"/>
  <c r="S37" i="5"/>
  <c r="R12" i="26"/>
  <c r="U15" i="10"/>
  <c r="S15" i="10" s="1"/>
  <c r="R14" i="26"/>
  <c r="Q14" i="26" s="1"/>
  <c r="U13" i="10"/>
  <c r="R24" i="26"/>
  <c r="U25" i="10"/>
  <c r="S49" i="5"/>
  <c r="T24" i="26"/>
  <c r="Q24" i="26" s="1"/>
  <c r="W25" i="10"/>
  <c r="S25" i="10" s="1"/>
  <c r="U49" i="5"/>
  <c r="Q49" i="5" s="1"/>
  <c r="U22" i="26"/>
  <c r="Q22" i="26" s="1"/>
  <c r="X23" i="10"/>
  <c r="S23" i="10" s="1"/>
  <c r="V47" i="5"/>
  <c r="Q47" i="5" s="1"/>
  <c r="W46" i="5"/>
  <c r="W50" i="5" s="1"/>
  <c r="Y22" i="10"/>
  <c r="Y26" i="10" s="1"/>
  <c r="V21" i="26"/>
  <c r="V25" i="26" s="1"/>
  <c r="V46" i="5"/>
  <c r="U21" i="26"/>
  <c r="X22" i="10"/>
  <c r="U46" i="5"/>
  <c r="U50" i="5" s="1"/>
  <c r="T21" i="26"/>
  <c r="W22" i="10"/>
  <c r="W26" i="10" s="1"/>
  <c r="T46" i="5"/>
  <c r="T50" i="5" s="1"/>
  <c r="S21" i="26"/>
  <c r="S25" i="26" s="1"/>
  <c r="V22" i="10"/>
  <c r="V26" i="10" s="1"/>
  <c r="S46" i="5"/>
  <c r="R21" i="26"/>
  <c r="U22" i="10"/>
  <c r="G49" i="5"/>
  <c r="H24" i="26"/>
  <c r="I25" i="10"/>
  <c r="F48" i="5"/>
  <c r="G23" i="26"/>
  <c r="H24" i="10"/>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H40" i="5" l="1"/>
  <c r="J15" i="26"/>
  <c r="C35" i="5"/>
  <c r="E11" i="10"/>
  <c r="D40" i="5"/>
  <c r="F40" i="5"/>
  <c r="G40" i="5"/>
  <c r="F15" i="26"/>
  <c r="E12" i="26"/>
  <c r="E15" i="26" s="1"/>
  <c r="F16" i="10"/>
  <c r="E40" i="5"/>
  <c r="G16" i="10"/>
  <c r="E13" i="10"/>
  <c r="E16" i="10" s="1"/>
  <c r="C37" i="5"/>
  <c r="S15" i="26"/>
  <c r="W16" i="10"/>
  <c r="T15" i="26"/>
  <c r="Q11" i="26"/>
  <c r="T40" i="5"/>
  <c r="S11" i="10"/>
  <c r="V16" i="10"/>
  <c r="Q35" i="5"/>
  <c r="R40" i="5"/>
  <c r="R15" i="26"/>
  <c r="Q12" i="26"/>
  <c r="U16" i="10"/>
  <c r="S13" i="10"/>
  <c r="S16" i="10" s="1"/>
  <c r="Q37" i="5"/>
  <c r="S40" i="5"/>
  <c r="T25" i="26"/>
  <c r="V50" i="5"/>
  <c r="X26" i="10"/>
  <c r="U25" i="26"/>
  <c r="U26" i="10"/>
  <c r="S22" i="10"/>
  <c r="S26" i="10" s="1"/>
  <c r="R25" i="26"/>
  <c r="Q21" i="26"/>
  <c r="Q25" i="26" s="1"/>
  <c r="S50" i="5"/>
  <c r="Q46" i="5"/>
  <c r="Q50" i="5" s="1"/>
  <c r="E24" i="26"/>
  <c r="H25" i="26"/>
  <c r="E25" i="10"/>
  <c r="I26" i="10"/>
  <c r="G50" i="5"/>
  <c r="C49" i="5"/>
  <c r="G25" i="26"/>
  <c r="E23" i="26"/>
  <c r="C48" i="5"/>
  <c r="F50" i="5"/>
  <c r="H26" i="10"/>
  <c r="E24" i="10"/>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C40" i="5" l="1"/>
  <c r="Q40" i="5"/>
  <c r="Q15" i="26"/>
  <c r="C50" i="5"/>
  <c r="E26" i="10"/>
  <c r="E25" i="26"/>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<sst xmlns="http://schemas.openxmlformats.org/spreadsheetml/2006/main" count="2483" uniqueCount="533">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</sst>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I27" sqref="I27"/>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217</v>
      </c>
      <c r="C13" s="218">
        <f>VLOOKUP(B13,'רשימת גופים'!A3:B230,2,0)</f>
        <v>520019688</v>
      </c>
      <c r="D13" s="155" t="s">
        <v>531</v>
      </c>
      <c r="E13" s="156" t="s">
        <v>532</v>
      </c>
      <c r="F13" s="156">
        <v>2019</v>
      </c>
      <c r="G13" s="209" t="s">
        <v>447</v>
      </c>
      <c r="H13" s="382" t="str">
        <f>CONCATENATE("netunim","_",C13,"_",F13,".xlsx")</f>
        <v>netunim_520019688_2019.xlsx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E57" sqref="B55:E5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מבטחים מוסד לביטוח סוציאלי של העובדים בע"מ</v>
      </c>
    </row>
    <row r="3" spans="1:145" ht="15.75" x14ac:dyDescent="0.25">
      <c r="B3" s="183" t="str">
        <f>CONCATENATE(הוראות!Z13,הוראות!F13)</f>
        <v>הנתונים ביחידות בודדות לשנת 2019</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מבטחים מוסד לביטוח סוציאלי של העובדים בע"מ</v>
      </c>
    </row>
    <row r="3" spans="1:121" ht="15.75" x14ac:dyDescent="0.25">
      <c r="B3" s="225" t="str">
        <f>CONCATENATE(הוראות!Z13,הוראות!F13)</f>
        <v>הנתונים ביחידות בודדות לשנת 2019</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I13" sqref="I13"/>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מבטחים מוסד לביטוח סוציאלי של העובדים בע"מ</v>
      </c>
    </row>
    <row r="3" spans="1:39" ht="15.75" x14ac:dyDescent="0.25">
      <c r="B3" s="183" t="str">
        <f>CONCATENATE(הוראות!Z13,הוראות!F13)</f>
        <v>הנתונים ביחידות בודדות לשנת 2019</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474</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1230</v>
      </c>
      <c r="AF10" s="179"/>
      <c r="AG10" s="177"/>
      <c r="AH10" s="177"/>
      <c r="AI10" s="177"/>
      <c r="AJ10" s="177"/>
      <c r="AK10" s="178"/>
    </row>
    <row r="11" spans="1:39" ht="12.75" customHeight="1" x14ac:dyDescent="0.2">
      <c r="A11" s="166">
        <f>A10+1</f>
        <v>2</v>
      </c>
      <c r="B11" s="167" t="s">
        <v>75</v>
      </c>
      <c r="C11" s="318">
        <v>961</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1957</v>
      </c>
      <c r="AF11" s="179"/>
      <c r="AG11" s="177"/>
      <c r="AH11" s="177"/>
      <c r="AI11" s="177"/>
      <c r="AJ11" s="177"/>
      <c r="AK11" s="178"/>
    </row>
    <row r="12" spans="1:39" x14ac:dyDescent="0.2">
      <c r="A12" s="166">
        <v>3</v>
      </c>
      <c r="B12" s="167" t="s">
        <v>498</v>
      </c>
      <c r="C12" s="250">
        <f>SUM(D12:I12)</f>
        <v>869</v>
      </c>
      <c r="D12" s="314">
        <v>457</v>
      </c>
      <c r="E12" s="308">
        <v>175</v>
      </c>
      <c r="F12" s="314">
        <v>105</v>
      </c>
      <c r="G12" s="314">
        <v>106</v>
      </c>
      <c r="H12" s="314">
        <v>14</v>
      </c>
      <c r="I12" s="315">
        <v>12</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1792</v>
      </c>
      <c r="AF12" s="314">
        <v>312</v>
      </c>
      <c r="AG12" s="308">
        <v>705</v>
      </c>
      <c r="AH12" s="314">
        <v>738</v>
      </c>
      <c r="AI12" s="314">
        <v>33</v>
      </c>
      <c r="AJ12" s="314">
        <v>4</v>
      </c>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31</v>
      </c>
      <c r="D14" s="314">
        <v>2</v>
      </c>
      <c r="E14" s="308">
        <v>4</v>
      </c>
      <c r="F14" s="314">
        <v>6</v>
      </c>
      <c r="G14" s="314">
        <v>13</v>
      </c>
      <c r="H14" s="314">
        <v>2</v>
      </c>
      <c r="I14" s="315">
        <v>4</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15</v>
      </c>
      <c r="AF14" s="314">
        <v>2</v>
      </c>
      <c r="AG14" s="308">
        <v>5</v>
      </c>
      <c r="AH14" s="314">
        <v>7</v>
      </c>
      <c r="AI14" s="314">
        <v>1</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4</v>
      </c>
      <c r="D16" s="314"/>
      <c r="E16" s="308">
        <v>4</v>
      </c>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1</v>
      </c>
      <c r="AF16" s="314"/>
      <c r="AG16" s="308">
        <v>1</v>
      </c>
      <c r="AH16" s="314"/>
      <c r="AI16" s="314"/>
      <c r="AJ16" s="314"/>
      <c r="AK16" s="315"/>
    </row>
    <row r="17" spans="1:37" ht="12.75" customHeight="1" x14ac:dyDescent="0.2">
      <c r="A17" s="166">
        <v>7</v>
      </c>
      <c r="B17" s="170" t="s">
        <v>521</v>
      </c>
      <c r="C17" s="250">
        <f t="shared" ref="C17:AG17" si="0">SUM(C12:C16)</f>
        <v>904</v>
      </c>
      <c r="D17" s="233">
        <f t="shared" si="0"/>
        <v>459</v>
      </c>
      <c r="E17" s="32">
        <f t="shared" si="0"/>
        <v>183</v>
      </c>
      <c r="F17" s="29">
        <f t="shared" si="0"/>
        <v>111</v>
      </c>
      <c r="G17" s="29">
        <f t="shared" si="0"/>
        <v>119</v>
      </c>
      <c r="H17" s="29">
        <f t="shared" si="0"/>
        <v>16</v>
      </c>
      <c r="I17" s="33">
        <f t="shared" si="0"/>
        <v>16</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1808</v>
      </c>
      <c r="AF17" s="31">
        <f t="shared" si="0"/>
        <v>314</v>
      </c>
      <c r="AG17" s="32">
        <f t="shared" si="0"/>
        <v>711</v>
      </c>
      <c r="AH17" s="29">
        <f t="shared" ref="AH17" si="1">SUM(AH12:AH16)</f>
        <v>745</v>
      </c>
      <c r="AI17" s="29">
        <f>SUM(AI12:AI16)</f>
        <v>34</v>
      </c>
      <c r="AJ17" s="29">
        <f>SUM(AJ12:AJ16)</f>
        <v>4</v>
      </c>
      <c r="AK17" s="180">
        <f>SUM(AK12:AK16)</f>
        <v>0</v>
      </c>
    </row>
    <row r="18" spans="1:37" x14ac:dyDescent="0.2">
      <c r="A18" s="166">
        <v>8</v>
      </c>
      <c r="B18" s="167" t="s">
        <v>524</v>
      </c>
      <c r="C18" s="250">
        <f>IF(C10+C11-C17=0,0,C10+C11-C17)</f>
        <v>531</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1379</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23</v>
      </c>
      <c r="AF24" s="314"/>
      <c r="AG24" s="308">
        <v>5</v>
      </c>
      <c r="AH24" s="314">
        <v>7</v>
      </c>
      <c r="AI24" s="314">
        <v>7</v>
      </c>
      <c r="AJ24" s="314">
        <v>1</v>
      </c>
      <c r="AK24" s="315">
        <v>3</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2</v>
      </c>
      <c r="AF25" s="314"/>
      <c r="AG25" s="308"/>
      <c r="AH25" s="314"/>
      <c r="AI25" s="314"/>
      <c r="AJ25" s="314">
        <v>2</v>
      </c>
      <c r="AK25" s="315"/>
    </row>
    <row r="26" spans="1:37" x14ac:dyDescent="0.2">
      <c r="A26" s="166">
        <v>3</v>
      </c>
      <c r="B26" s="167" t="s">
        <v>84</v>
      </c>
      <c r="C26" s="250">
        <f>SUM(D26:I26)</f>
        <v>1</v>
      </c>
      <c r="D26" s="314"/>
      <c r="E26" s="308"/>
      <c r="F26" s="314">
        <v>1</v>
      </c>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c r="G27" s="314">
        <v>1</v>
      </c>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3</v>
      </c>
      <c r="AF27" s="314"/>
      <c r="AG27" s="308">
        <v>1</v>
      </c>
      <c r="AH27" s="314"/>
      <c r="AI27" s="314">
        <v>2</v>
      </c>
      <c r="AJ27" s="314"/>
      <c r="AK27" s="315"/>
    </row>
    <row r="28" spans="1:37" x14ac:dyDescent="0.2">
      <c r="A28" s="171">
        <f>A27+1</f>
        <v>5</v>
      </c>
      <c r="B28" s="172" t="s">
        <v>86</v>
      </c>
      <c r="C28" s="251">
        <f t="shared" ref="C28:AF28" si="5">SUM(C24:C27)</f>
        <v>2</v>
      </c>
      <c r="D28" s="245">
        <f t="shared" si="5"/>
        <v>0</v>
      </c>
      <c r="E28" s="36">
        <f t="shared" si="5"/>
        <v>0</v>
      </c>
      <c r="F28" s="36">
        <f t="shared" si="5"/>
        <v>1</v>
      </c>
      <c r="G28" s="36">
        <f t="shared" si="5"/>
        <v>1</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28</v>
      </c>
      <c r="AF28" s="35">
        <f t="shared" si="5"/>
        <v>0</v>
      </c>
      <c r="AG28" s="36">
        <f t="shared" ref="AG28" si="6">SUM(AG24:AG27)</f>
        <v>6</v>
      </c>
      <c r="AH28" s="36">
        <f>SUM(AH24:AH27)</f>
        <v>7</v>
      </c>
      <c r="AI28" s="36">
        <f>SUM(AI24:AI27)</f>
        <v>9</v>
      </c>
      <c r="AJ28" s="36">
        <f>SUM(AJ24:AJ27)</f>
        <v>3</v>
      </c>
      <c r="AK28" s="38">
        <f>SUM(AK24:AK27)</f>
        <v>3</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0.96128318584070793</v>
      </c>
      <c r="D35" s="235">
        <f>IF((' פנסיוני א3'!D12+' פנסיוני א3'!K12)=0,0,(' פנסיוני א3'!D12+' פנסיוני א3'!K12)/(' פנסיוני א3'!$C$17+' פנסיוני א3'!$J$17))</f>
        <v>0.50553097345132747</v>
      </c>
      <c r="E35" s="235">
        <f>IF((' פנסיוני א3'!E12+' פנסיוני א3'!L12)=0,0,(' פנסיוני א3'!E12+' פנסיוני א3'!L12)/(' פנסיוני א3'!$C$17+' פנסיוני א3'!$J$17))</f>
        <v>0.19358407079646017</v>
      </c>
      <c r="F35" s="235">
        <f>IF((' פנסיוני א3'!F12+' פנסיוני א3'!M12)=0,0,(' פנסיוני א3'!F12+' פנסיוני א3'!M12)/(' פנסיוני א3'!$C$17+' פנסיוני א3'!$J$17))</f>
        <v>0.11615044247787611</v>
      </c>
      <c r="G35" s="235">
        <f>IF((' פנסיוני א3'!G12+' פנסיוני א3'!N12)=0,0,(' פנסיוני א3'!G12+' פנסיוני א3'!N12)/(' פנסיוני א3'!$C$17+' פנסיוני א3'!$J$17))</f>
        <v>0.11725663716814159</v>
      </c>
      <c r="H35" s="235">
        <f>IF((' פנסיוני א3'!H12+' פנסיוני א3'!O12)=0,0,(' פנסיוני א3'!H12+' פנסיוני א3'!O12)/(' פנסיוני א3'!$C$17+' פנסיוני א3'!$J$17))</f>
        <v>1.5486725663716814E-2</v>
      </c>
      <c r="I35" s="235">
        <f>IF((' פנסיוני א3'!I12+' פנסיוני א3'!P12)=0,0,(' פנסיוני א3'!I12+' פנסיוני א3'!P12)/(' פנסיוני א3'!$C$17+' פנסיוני א3'!$J$17))</f>
        <v>1.3274336283185841E-2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0.99115044247787609</v>
      </c>
      <c r="R35" s="235">
        <f>IF(' פנסיוני א3'!AF12=0,0,' פנסיוני א3'!AF12/' פנסיוני א3'!$AE$17)</f>
        <v>0.17256637168141592</v>
      </c>
      <c r="S35" s="235">
        <f>IF(' פנסיוני א3'!AG12=0,0,' פנסיוני א3'!AG12/' פנסיוני א3'!$AE$17)</f>
        <v>0.38993362831858408</v>
      </c>
      <c r="T35" s="235">
        <f>IF(' פנסיוני א3'!AH12=0,0,' פנסיוני א3'!AH12/' פנסיוני א3'!$AE$17)</f>
        <v>0.4081858407079646</v>
      </c>
      <c r="U35" s="235">
        <f>IF(' פנסיוני א3'!AI12=0,0,' פנסיוני א3'!AI12/' פנסיוני א3'!$AE$17)</f>
        <v>1.8252212389380532E-2</v>
      </c>
      <c r="V35" s="235">
        <f>IF(' פנסיוני א3'!AJ12=0,0,' פנסיוני א3'!AJ12/' פנסיוני א3'!$AE$17)</f>
        <v>2.2123893805309734E-3</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3.4292035398230086E-2</v>
      </c>
      <c r="D37" s="79">
        <f>IF((' פנסיוני א3'!D14+' פנסיוני א3'!K14)=0,0,(' פנסיוני א3'!D14+' פנסיוני א3'!K14)/(' פנסיוני א3'!$C$17+' פנסיוני א3'!$J$17))</f>
        <v>2.2123893805309734E-3</v>
      </c>
      <c r="E37" s="79">
        <f>IF((' פנסיוני א3'!E14+' פנסיוני א3'!L14)=0,0,(' פנסיוני א3'!E14+' פנסיוני א3'!L14)/(' פנסיוני א3'!$C$17+' פנסיוני א3'!$J$17))</f>
        <v>4.4247787610619468E-3</v>
      </c>
      <c r="F37" s="79">
        <f>IF((' פנסיוני א3'!F14+' פנסיוני א3'!M14)=0,0,(' פנסיוני א3'!F14+' פנסיוני א3'!M14)/(' פנסיוני א3'!$C$17+' פנסיוני א3'!$J$17))</f>
        <v>6.6371681415929203E-3</v>
      </c>
      <c r="G37" s="79">
        <f>IF((' פנסיוני א3'!G14+' פנסיוני א3'!N14)=0,0,(' פנסיוני א3'!G14+' פנסיוני א3'!N14)/(' פנסיוני א3'!$C$17+' פנסיוני א3'!$J$17))</f>
        <v>1.4380530973451327E-2</v>
      </c>
      <c r="H37" s="79">
        <f>IF((' פנסיוני א3'!H14+' פנסיוני א3'!O14)=0,0,(' פנסיוני א3'!H14+' פנסיוני א3'!O14)/(' פנסיוני א3'!$C$17+' פנסיוני א3'!$J$17))</f>
        <v>2.2123893805309734E-3</v>
      </c>
      <c r="I37" s="79">
        <f>IF((' פנסיוני א3'!I14+' פנסיוני א3'!P14)=0,0,(' פנסיוני א3'!I14+' פנסיוני א3'!P14)/(' פנסיוני א3'!$C$17+' פנסיוני א3'!$J$17))</f>
        <v>4.4247787610619468E-3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8.2964601769911495E-3</v>
      </c>
      <c r="R37" s="79">
        <f>IF(' פנסיוני א3'!AF14=0,0,' פנסיוני א3'!AF14/' פנסיוני א3'!$AE$17)</f>
        <v>1.1061946902654867E-3</v>
      </c>
      <c r="S37" s="79">
        <f>IF(' פנסיוני א3'!AG14=0,0,' פנסיוני א3'!AG14/' פנסיוני א3'!$AE$17)</f>
        <v>2.7654867256637168E-3</v>
      </c>
      <c r="T37" s="79">
        <f>IF(' פנסיוני א3'!AH14=0,0,' פנסיוני א3'!AH14/' פנסיוני א3'!$AE$17)</f>
        <v>3.8716814159292035E-3</v>
      </c>
      <c r="U37" s="79">
        <f>IF(' פנסיוני א3'!AI14=0,0,' פנסיוני א3'!AI14/' פנסיוני א3'!$AE$17)</f>
        <v>5.5309734513274336E-4</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4.4247787610619468E-3</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4.4247787610619468E-3</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5.5309734513274336E-4</v>
      </c>
      <c r="R39" s="79">
        <f>IF(' פנסיוני א3'!AF16=0,0,' פנסיוני א3'!AF16/' פנסיוני א3'!$AE$17)</f>
        <v>0</v>
      </c>
      <c r="S39" s="79">
        <f>IF(' פנסיוני א3'!AG16=0,0,' פנסיוני א3'!AG16/' פנסיוני א3'!$AE$17)</f>
        <v>5.5309734513274336E-4</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0.50774336283185839</v>
      </c>
      <c r="E40" s="237">
        <f t="shared" si="7"/>
        <v>0.20243362831858408</v>
      </c>
      <c r="F40" s="237">
        <f t="shared" si="7"/>
        <v>0.12278761061946902</v>
      </c>
      <c r="G40" s="237">
        <f t="shared" si="7"/>
        <v>0.13163716814159293</v>
      </c>
      <c r="H40" s="237">
        <f t="shared" si="7"/>
        <v>1.7699115044247787E-2</v>
      </c>
      <c r="I40" s="238">
        <f t="shared" si="7"/>
        <v>1.7699115044247787E-2</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0.17367256637168141</v>
      </c>
      <c r="S40" s="237">
        <f t="shared" si="9"/>
        <v>0.39325221238938057</v>
      </c>
      <c r="T40" s="237">
        <f t="shared" si="9"/>
        <v>0.41205752212389379</v>
      </c>
      <c r="U40" s="237">
        <f t="shared" si="9"/>
        <v>1.8805309734513276E-2</v>
      </c>
      <c r="V40" s="237">
        <f t="shared" si="9"/>
        <v>2.2123893805309734E-3</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0.8214285714285714</v>
      </c>
      <c r="R46" s="79">
        <f>IF(' פנסיוני א3'!AF24=0,0,' פנסיוני א3'!AF24/' פנסיוני א3'!$AE$28)</f>
        <v>0</v>
      </c>
      <c r="S46" s="79">
        <f>IF(' פנסיוני א3'!AG24=0,0,' פנסיוני א3'!AG24/' פנסיוני א3'!$AE$28)</f>
        <v>0.17857142857142858</v>
      </c>
      <c r="T46" s="79">
        <f>IF(' פנסיוני א3'!AH24=0,0,' פנסיוני א3'!AH24/' פנסיוני א3'!$AE$28)</f>
        <v>0.25</v>
      </c>
      <c r="U46" s="79">
        <f>IF(' פנסיוני א3'!AI24=0,0,' פנסיוני א3'!AI24/' פנסיוני א3'!$AE$28)</f>
        <v>0.25</v>
      </c>
      <c r="V46" s="79">
        <f>IF(' פנסיוני א3'!AJ24=0,0,' פנסיוני א3'!AJ24/' פנסיוני א3'!$AE$28)</f>
        <v>3.5714285714285712E-2</v>
      </c>
      <c r="W46" s="81">
        <f>IF(' פנסיוני א3'!AK24=0,0,' פנסיוני א3'!AK24/' פנסיוני א3'!$AE$28)</f>
        <v>0.10714285714285714</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7.1428571428571425E-2</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7.1428571428571425E-2</v>
      </c>
      <c r="W47" s="81">
        <f>IF(' פנסיוני א3'!AK25=0,0,' פנסיוני א3'!AK25/' פנסיוני א3'!$AE$28)</f>
        <v>0</v>
      </c>
    </row>
    <row r="48" spans="1:23" hidden="1" x14ac:dyDescent="0.2">
      <c r="A48" s="202">
        <v>3</v>
      </c>
      <c r="B48" s="203"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0.5</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0.5</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0.10714285714285714</v>
      </c>
      <c r="R49" s="79">
        <f>IF(' פנסיוני א3'!AF27=0,0,' פנסיוני א3'!AF27/' פנסיוני א3'!$AE$28)</f>
        <v>0</v>
      </c>
      <c r="S49" s="79">
        <f>IF(' פנסיוני א3'!AG27=0,0,' פנסיוני א3'!AG27/' פנסיוני א3'!$AE$28)</f>
        <v>3.5714285714285712E-2</v>
      </c>
      <c r="T49" s="79">
        <f>IF(' פנסיוני א3'!AH27=0,0,' פנסיוני א3'!AH27/' פנסיוני א3'!$AE$28)</f>
        <v>0</v>
      </c>
      <c r="U49" s="79">
        <f>IF(' פנסיוני א3'!AI27=0,0,' פנסיוני א3'!AI27/' פנסיוני א3'!$AE$28)</f>
        <v>7.1428571428571425E-2</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0.5</v>
      </c>
      <c r="G50" s="103">
        <f t="shared" si="11"/>
        <v>0.5</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0.99999999999999989</v>
      </c>
      <c r="R50" s="103">
        <f t="shared" si="11"/>
        <v>0</v>
      </c>
      <c r="S50" s="103">
        <f t="shared" si="11"/>
        <v>0.2142857142857143</v>
      </c>
      <c r="T50" s="103">
        <f t="shared" si="11"/>
        <v>0.25</v>
      </c>
      <c r="U50" s="103">
        <f t="shared" si="11"/>
        <v>0.3214285714285714</v>
      </c>
      <c r="V50" s="103">
        <f t="shared" si="11"/>
        <v>0.10714285714285714</v>
      </c>
      <c r="W50" s="102">
        <f t="shared" si="11"/>
        <v>0.10714285714285714</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מבטחים מוסד לביטוח סוציאלי של העובדים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0.96128318584070793</v>
      </c>
      <c r="F11" s="235">
        <f>IF((' פנסיוני א3'!D12+' פנסיוני א3'!K12)=0,0,(' פנסיוני א3'!D12+' פנסיוני א3'!K12)/(' פנסיוני א3'!$C$17+' פנסיוני א3'!$J$17))</f>
        <v>0.50553097345132747</v>
      </c>
      <c r="G11" s="235">
        <f>IF((' פנסיוני א3'!E12+' פנסיוני א3'!L12)=0,0,(' פנסיוני א3'!E12+' פנסיוני א3'!L12)/(' פנסיוני א3'!$C$17+' פנסיוני א3'!$J$17))</f>
        <v>0.19358407079646017</v>
      </c>
      <c r="H11" s="235">
        <f>IF((' פנסיוני א3'!F12+' פנסיוני א3'!M12)=0,0,(' פנסיוני א3'!F12+' פנסיוני א3'!M12)/(' פנסיוני א3'!$C$17+' פנסיוני א3'!$J$17))</f>
        <v>0.11615044247787611</v>
      </c>
      <c r="I11" s="235">
        <f>IF((' פנסיוני א3'!G12+' פנסיוני א3'!N12)=0,0,(' פנסיוני א3'!G12+' פנסיוני א3'!N12)/(' פנסיוני א3'!$C$17+' פנסיוני א3'!$J$17))</f>
        <v>0.11725663716814159</v>
      </c>
      <c r="J11" s="235">
        <f>IF((' פנסיוני א3'!H12+' פנסיוני א3'!O12)=0,0,(' פנסיוני א3'!H12+' פנסיוני א3'!O12)/(' פנסיוני א3'!$C$17+' פנסיוני א3'!$J$17))</f>
        <v>1.5486725663716814E-2</v>
      </c>
      <c r="K11" s="235">
        <f>IF((' פנסיוני א3'!I12+' פנסיוני א3'!P12)=0,0,(' פנסיוני א3'!I12+' פנסיוני א3'!P12)/(' פנסיוני א3'!$C$17+' פנסיוני א3'!$J$17))</f>
        <v>1.3274336283185841E-2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0.99115044247787609</v>
      </c>
      <c r="T11" s="235">
        <f>IF(' פנסיוני א3'!AF12=0,0,' פנסיוני א3'!AF12/' פנסיוני א3'!$AE$17)</f>
        <v>0.17256637168141592</v>
      </c>
      <c r="U11" s="235">
        <f>IF(' פנסיוני א3'!AG12=0,0,' פנסיוני א3'!AG12/' פנסיוני א3'!$AE$17)</f>
        <v>0.38993362831858408</v>
      </c>
      <c r="V11" s="235">
        <f>IF(' פנסיוני א3'!AH12=0,0,' פנסיוני א3'!AH12/' פנסיוני א3'!$AE$17)</f>
        <v>0.4081858407079646</v>
      </c>
      <c r="W11" s="235">
        <f>IF(' פנסיוני א3'!AI12=0,0,' פנסיוני א3'!AI12/' פנסיוני א3'!$AE$17)</f>
        <v>1.8252212389380532E-2</v>
      </c>
      <c r="X11" s="235">
        <f>IF(' פנסיוני א3'!AJ12=0,0,' פנסיוני א3'!AJ12/' פנסיוני א3'!$AE$17)</f>
        <v>2.2123893805309734E-3</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3.4292035398230086E-2</v>
      </c>
      <c r="F13" s="79">
        <f>IF((' פנסיוני א3'!D14+' פנסיוני א3'!K14)=0,0,(' פנסיוני א3'!D14+' פנסיוני א3'!K14)/(' פנסיוני א3'!$C$17+' פנסיוני א3'!$J$17))</f>
        <v>2.2123893805309734E-3</v>
      </c>
      <c r="G13" s="79">
        <f>IF((' פנסיוני א3'!E14+' פנסיוני א3'!L14)=0,0,(' פנסיוני א3'!E14+' פנסיוני א3'!L14)/(' פנסיוני א3'!$C$17+' פנסיוני א3'!$J$17))</f>
        <v>4.4247787610619468E-3</v>
      </c>
      <c r="H13" s="79">
        <f>IF((' פנסיוני א3'!F14+' פנסיוני א3'!M14)=0,0,(' פנסיוני א3'!F14+' פנסיוני א3'!M14)/(' פנסיוני א3'!$C$17+' פנסיוני א3'!$J$17))</f>
        <v>6.6371681415929203E-3</v>
      </c>
      <c r="I13" s="79">
        <f>IF((' פנסיוני א3'!G14+' פנסיוני א3'!N14)=0,0,(' פנסיוני א3'!G14+' פנסיוני א3'!N14)/(' פנסיוני א3'!$C$17+' פנסיוני א3'!$J$17))</f>
        <v>1.4380530973451327E-2</v>
      </c>
      <c r="J13" s="79">
        <f>IF((' פנסיוני א3'!H14+' פנסיוני א3'!O14)=0,0,(' פנסיוני א3'!H14+' פנסיוני א3'!O14)/(' פנסיוני א3'!$C$17+' פנסיוני א3'!$J$17))</f>
        <v>2.2123893805309734E-3</v>
      </c>
      <c r="K13" s="79">
        <f>IF((' פנסיוני א3'!I14+' פנסיוני א3'!P14)=0,0,(' פנסיוני א3'!I14+' פנסיוני א3'!P14)/(' פנסיוני א3'!$C$17+' פנסיוני א3'!$J$17))</f>
        <v>4.4247787610619468E-3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8.2964601769911495E-3</v>
      </c>
      <c r="T13" s="79">
        <f>IF(' פנסיוני א3'!AF14=0,0,' פנסיוני א3'!AF14/' פנסיוני א3'!$AE$17)</f>
        <v>1.1061946902654867E-3</v>
      </c>
      <c r="U13" s="79">
        <f>IF(' פנסיוני א3'!AG14=0,0,' פנסיוני א3'!AG14/' פנסיוני א3'!$AE$17)</f>
        <v>2.7654867256637168E-3</v>
      </c>
      <c r="V13" s="79">
        <f>IF(' פנסיוני א3'!AH14=0,0,' פנסיוני א3'!AH14/' פנסיוני א3'!$AE$17)</f>
        <v>3.8716814159292035E-3</v>
      </c>
      <c r="W13" s="79">
        <f>IF(' פנסיוני א3'!AI14=0,0,' פנסיוני א3'!AI14/' פנסיוני א3'!$AE$17)</f>
        <v>5.5309734513274336E-4</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4.4247787610619468E-3</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4.4247787610619468E-3</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5.5309734513274336E-4</v>
      </c>
      <c r="T15" s="79">
        <f>IF(' פנסיוני א3'!AF16=0,0,' פנסיוני א3'!AF16/' פנסיוני א3'!$AE$17)</f>
        <v>0</v>
      </c>
      <c r="U15" s="79">
        <f>IF(' פנסיוני א3'!AG16=0,0,' פנסיוני א3'!AG16/' פנסיוני א3'!$AE$17)</f>
        <v>5.5309734513274336E-4</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0.50774336283185839</v>
      </c>
      <c r="G16" s="237">
        <f t="shared" si="0"/>
        <v>0.20243362831858408</v>
      </c>
      <c r="H16" s="237">
        <f t="shared" si="0"/>
        <v>0.12278761061946902</v>
      </c>
      <c r="I16" s="237">
        <f t="shared" si="0"/>
        <v>0.13163716814159293</v>
      </c>
      <c r="J16" s="237">
        <f t="shared" si="0"/>
        <v>1.7699115044247787E-2</v>
      </c>
      <c r="K16" s="238">
        <f t="shared" si="0"/>
        <v>1.7699115044247787E-2</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0.17367256637168141</v>
      </c>
      <c r="U16" s="237">
        <f t="shared" si="2"/>
        <v>0.39325221238938057</v>
      </c>
      <c r="V16" s="237">
        <f t="shared" si="2"/>
        <v>0.41205752212389379</v>
      </c>
      <c r="W16" s="237">
        <f t="shared" si="2"/>
        <v>1.8805309734513276E-2</v>
      </c>
      <c r="X16" s="237">
        <f t="shared" si="2"/>
        <v>2.2123893805309734E-3</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0.8214285714285714</v>
      </c>
      <c r="T22" s="79">
        <f>IF(' פנסיוני א3'!AF24=0,0,' פנסיוני א3'!AF24/' פנסיוני א3'!$AE$28)</f>
        <v>0</v>
      </c>
      <c r="U22" s="79">
        <f>IF(' פנסיוני א3'!AG24=0,0,' פנסיוני א3'!AG24/' פנסיוני א3'!$AE$28)</f>
        <v>0.17857142857142858</v>
      </c>
      <c r="V22" s="79">
        <f>IF(' פנסיוני א3'!AH24=0,0,' פנסיוני א3'!AH24/' פנסיוני א3'!$AE$28)</f>
        <v>0.25</v>
      </c>
      <c r="W22" s="79">
        <f>IF(' פנסיוני א3'!AI24=0,0,' פנסיוני א3'!AI24/' פנסיוני א3'!$AE$28)</f>
        <v>0.25</v>
      </c>
      <c r="X22" s="79">
        <f>IF(' פנסיוני א3'!AJ24=0,0,' פנסיוני א3'!AJ24/' פנסיוני א3'!$AE$28)</f>
        <v>3.5714285714285712E-2</v>
      </c>
      <c r="Y22" s="81">
        <f>IF(' פנסיוני א3'!AK24=0,0,' פנסיוני א3'!AK24/' פנסיוני א3'!$AE$28)</f>
        <v>0.10714285714285714</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7.1428571428571425E-2</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7.1428571428571425E-2</v>
      </c>
      <c r="Y23" s="81">
        <f>IF(' פנסיוני א3'!AK25=0,0,' פנסיוני א3'!AK25/' פנסיוני א3'!$AE$28)</f>
        <v>0</v>
      </c>
    </row>
    <row r="24" spans="1:25" x14ac:dyDescent="0.2">
      <c r="A24" s="202">
        <v>3</v>
      </c>
      <c r="B24" s="468" t="s">
        <v>84</v>
      </c>
      <c r="C24" s="469"/>
      <c r="D24" s="470"/>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0.5</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0.5</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0.10714285714285714</v>
      </c>
      <c r="T25" s="79">
        <f>IF(' פנסיוני א3'!AF27=0,0,' פנסיוני א3'!AF27/' פנסיוני א3'!$AE$28)</f>
        <v>0</v>
      </c>
      <c r="U25" s="79">
        <f>IF(' פנסיוני א3'!AG27=0,0,' פנסיוני א3'!AG27/' פנסיוני א3'!$AE$28)</f>
        <v>3.5714285714285712E-2</v>
      </c>
      <c r="V25" s="79">
        <f>IF(' פנסיוני א3'!AH27=0,0,' פנסיוני א3'!AH27/' פנסיוני א3'!$AE$28)</f>
        <v>0</v>
      </c>
      <c r="W25" s="79">
        <f>IF(' פנסיוני א3'!AI27=0,0,' פנסיוני א3'!AI27/' פנסיוני א3'!$AE$28)</f>
        <v>7.1428571428571425E-2</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1</v>
      </c>
      <c r="F26" s="103">
        <f t="shared" ref="F26:Y26" si="5">SUM(F22:F25)</f>
        <v>0</v>
      </c>
      <c r="G26" s="103">
        <f t="shared" si="5"/>
        <v>0</v>
      </c>
      <c r="H26" s="103">
        <f t="shared" si="5"/>
        <v>0.5</v>
      </c>
      <c r="I26" s="103">
        <f t="shared" si="5"/>
        <v>0.5</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0.99999999999999989</v>
      </c>
      <c r="T26" s="103">
        <f t="shared" si="5"/>
        <v>0</v>
      </c>
      <c r="U26" s="103">
        <f t="shared" si="5"/>
        <v>0.2142857142857143</v>
      </c>
      <c r="V26" s="103">
        <f t="shared" si="5"/>
        <v>0.25</v>
      </c>
      <c r="W26" s="103">
        <f t="shared" si="5"/>
        <v>0.3214285714285714</v>
      </c>
      <c r="X26" s="103">
        <f t="shared" si="5"/>
        <v>0.10714285714285714</v>
      </c>
      <c r="Y26" s="102">
        <f t="shared" si="5"/>
        <v>0.10714285714285714</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3559</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3559</v>
      </c>
      <c r="E14" s="150">
        <v>983</v>
      </c>
      <c r="F14" s="150">
        <v>1165</v>
      </c>
      <c r="G14" s="150">
        <v>592</v>
      </c>
      <c r="H14" s="150">
        <v>102</v>
      </c>
      <c r="I14" s="151">
        <v>192</v>
      </c>
      <c r="J14" s="152">
        <v>525</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1828</v>
      </c>
      <c r="E11" s="144"/>
      <c r="F11" s="144"/>
      <c r="G11" s="144"/>
      <c r="H11" s="144"/>
      <c r="I11" s="144"/>
      <c r="J11" s="145"/>
      <c r="K11" s="143">
        <v>4000</v>
      </c>
      <c r="L11" s="144"/>
      <c r="M11" s="144"/>
      <c r="N11" s="144"/>
      <c r="O11" s="144"/>
      <c r="P11" s="144"/>
      <c r="Q11" s="146"/>
    </row>
    <row r="12" spans="2:17" ht="25.5" x14ac:dyDescent="0.2">
      <c r="B12" s="60" t="s">
        <v>159</v>
      </c>
      <c r="C12" s="61" t="s">
        <v>160</v>
      </c>
      <c r="D12" s="143">
        <v>7904</v>
      </c>
      <c r="E12" s="144"/>
      <c r="F12" s="144"/>
      <c r="G12" s="144"/>
      <c r="H12" s="144"/>
      <c r="I12" s="147"/>
      <c r="J12" s="148"/>
      <c r="K12" s="143">
        <v>5656</v>
      </c>
      <c r="L12" s="144"/>
      <c r="M12" s="144"/>
      <c r="N12" s="144"/>
      <c r="O12" s="144"/>
      <c r="P12" s="144"/>
      <c r="Q12" s="146"/>
    </row>
    <row r="13" spans="2:17" ht="25.5" x14ac:dyDescent="0.2">
      <c r="B13" s="62" t="s">
        <v>161</v>
      </c>
      <c r="C13" s="61" t="s">
        <v>162</v>
      </c>
      <c r="D13" s="143">
        <v>1264</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8217</v>
      </c>
      <c r="E14" s="150">
        <v>2652</v>
      </c>
      <c r="F14" s="150">
        <v>1298</v>
      </c>
      <c r="G14" s="150">
        <v>711</v>
      </c>
      <c r="H14" s="150">
        <v>497</v>
      </c>
      <c r="I14" s="151">
        <v>899</v>
      </c>
      <c r="J14" s="152">
        <v>2160</v>
      </c>
      <c r="K14" s="149">
        <f>SUM(L14:Q14)</f>
        <v>5056</v>
      </c>
      <c r="L14" s="150">
        <v>3881</v>
      </c>
      <c r="M14" s="150">
        <v>990</v>
      </c>
      <c r="N14" s="150"/>
      <c r="O14" s="150">
        <v>37</v>
      </c>
      <c r="P14" s="151">
        <v>82</v>
      </c>
      <c r="Q14" s="181">
        <v>66</v>
      </c>
    </row>
    <row r="15" spans="2:17" ht="38.25" x14ac:dyDescent="0.2">
      <c r="B15" s="62" t="s">
        <v>165</v>
      </c>
      <c r="C15" s="61" t="s">
        <v>166</v>
      </c>
      <c r="D15" s="149">
        <f>IF(D11+D12-D14-D13=0,"",D11+D12-D14-D13)</f>
        <v>251</v>
      </c>
      <c r="E15" s="144"/>
      <c r="F15" s="144"/>
      <c r="G15" s="144"/>
      <c r="H15" s="144"/>
      <c r="I15" s="147"/>
      <c r="J15" s="148"/>
      <c r="K15" s="149">
        <f>IF(K11+K12-K14-K13=0,"",K11+K12-K14-K13)</f>
        <v>4600</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מבטחים מוסד לביטוח סוציאלי של העובדים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0.96128318584070793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0.69911504424778759</v>
      </c>
      <c r="G11" s="79">
        <f>IF((' פנסיוני א3'!F12+' פנסיוני א3'!M12+' פנסיוני א3'!F13+' פנסיוני א3'!M13)=0,0,(' פנסיוני א3'!F12+' פנסיוני א3'!M12+' פנסיוני א3'!F13+' פנסיוני א3'!M13)/(' פנסיוני א3'!$C$17+' פנסיוני א3'!$J$17))</f>
        <v>0.11615044247787611</v>
      </c>
      <c r="H11" s="79">
        <f>IF((' פנסיוני א3'!G12+' פנסיוני א3'!N12+' פנסיוני א3'!G13+' פנסיוני א3'!N13)=0,0,(' פנסיוני א3'!G12+' פנסיוני א3'!N12+' פנסיוני א3'!G13+' פנסיוני א3'!N13)/(' פנסיוני א3'!$C$17+' פנסיוני א3'!$J$17))</f>
        <v>0.11725663716814159</v>
      </c>
      <c r="I11" s="79">
        <f>IF((' פנסיוני א3'!H12+' פנסיוני א3'!O12+' פנסיוני א3'!H13+' פנסיוני א3'!O13)=0,0,(' פנסיוני א3'!H12+' פנסיוני א3'!O12+' פנסיוני א3'!H13+' פנסיוני א3'!O13)/(' פנסיוני א3'!$C$17+' פנסיוני א3'!$J$17))</f>
        <v>1.5486725663716814E-2</v>
      </c>
      <c r="J11" s="79">
        <f>IF((' פנסיוני א3'!I12+' פנסיוני א3'!P12+' פנסיוני א3'!I13+' פנסיוני א3'!P13)=0,0,(' פנסיוני א3'!I12+' פנסיוני א3'!P12+' פנסיוני א3'!I13+' פנסיוני א3'!P13)/(' פנסיוני א3'!$C$17+' פנסיוני א3'!$J$17))</f>
        <v>1.3274336283185841E-2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0.99115044247787609</v>
      </c>
      <c r="R11" s="79">
        <f>IF(' פנסיוני א3'!AF12+' פנסיוני א3'!AG12+' פנסיוני א3'!AF13+' פנסיוני א3'!AG13=0,0,(' פנסיוני א3'!AF12+' פנסיוני א3'!AG12+' פנסיוני א3'!AF13+' פנסיוני א3'!AG13)/' פנסיוני א3'!$AE$17)</f>
        <v>0.5625</v>
      </c>
      <c r="S11" s="79">
        <f>IF(' פנסיוני א3'!AH12+' פנסיוני א3'!AH13=0,0,(' פנסיוני א3'!AH12+' פנסיוני א3'!AH13)/' פנסיוני א3'!$AE$17)</f>
        <v>0.4081858407079646</v>
      </c>
      <c r="T11" s="79">
        <f>IF(' פנסיוני א3'!AI12+' פנסיוני א3'!AI13=0,0,(' פנסיוני א3'!AI12+' פנסיוני א3'!AI13)/' פנסיוני א3'!$AE$17)</f>
        <v>1.8252212389380532E-2</v>
      </c>
      <c r="U11" s="79">
        <f>IF(' פנסיוני א3'!AJ12+' פנסיוני א3'!AJ13=0,0,(' פנסיוני א3'!AJ12+' פנסיוני א3'!AJ13)/' פנסיוני א3'!$AE$17)</f>
        <v>2.2123893805309734E-3</v>
      </c>
      <c r="V11" s="81">
        <f>IF(' פנסיוני א3'!AK12+' פנסיוני א3'!AK13=0,0,(' פנסיוני א3'!AK12+' פנסיוני א3'!AK13)/' פנסיוני א3'!$AE$17)</f>
        <v>0</v>
      </c>
    </row>
    <row r="12" spans="1:25" x14ac:dyDescent="0.2">
      <c r="A12" s="202">
        <v>4</v>
      </c>
      <c r="B12" s="203" t="s">
        <v>77</v>
      </c>
      <c r="C12" s="272"/>
      <c r="D12" s="273"/>
      <c r="E12" s="78">
        <f>SUM(F12:J12)</f>
        <v>3.4292035398230086E-2</v>
      </c>
      <c r="F12" s="79">
        <f>IF((' פנסיוני א3'!D14+' פנסיוני א3'!K14+' פנסיוני א3'!E14+' פנסיוני א3'!L14)=0,0,(' פנסיוני א3'!D14+' פנסיוני א3'!K14+' פנסיוני א3'!E14+' פנסיוני א3'!L14)/(' פנסיוני א3'!$C$17+' פנסיוני א3'!$J$17))</f>
        <v>6.6371681415929203E-3</v>
      </c>
      <c r="G12" s="79">
        <f>IF((' פנסיוני א3'!F14+' פנסיוני א3'!M14)=0,0,(' פנסיוני א3'!F14+' פנסיוני א3'!M14)/(' פנסיוני א3'!$C$17+' פנסיוני א3'!$J$17))</f>
        <v>6.6371681415929203E-3</v>
      </c>
      <c r="H12" s="79">
        <f>IF((' פנסיוני א3'!G14+' פנסיוני א3'!N14)=0,0,(' פנסיוני א3'!G14+' פנסיוני א3'!N14)/(' פנסיוני א3'!$C$17+' פנסיוני א3'!$J$17))</f>
        <v>1.4380530973451327E-2</v>
      </c>
      <c r="I12" s="79">
        <f>IF((' פנסיוני א3'!H14+' פנסיוני א3'!O14)=0,0,(' פנסיוני א3'!H14+' פנסיוני א3'!O14)/(' פנסיוני א3'!$C$17+' פנסיוני א3'!$J$17))</f>
        <v>2.2123893805309734E-3</v>
      </c>
      <c r="J12" s="79">
        <f>IF((' פנסיוני א3'!I14+' פנסיוני א3'!P14)=0,0,(' פנסיוני א3'!I14+' פנסיוני א3'!P14)/(' פנסיוני א3'!$C$17+' פנסיוני א3'!$J$17))</f>
        <v>4.4247787610619468E-3</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8.2964601769911495E-3</v>
      </c>
      <c r="R12" s="79">
        <f>IF(' פנסיוני א3'!AF14+' פנסיוני א3'!AG14=0,0,(' פנסיוני א3'!AF14+' פנסיוני א3'!AG14)/' פנסיוני א3'!$AE$17)</f>
        <v>3.8716814159292035E-3</v>
      </c>
      <c r="S12" s="79">
        <f>IF(' פנסיוני א3'!AH14=0,0,' פנסיוני א3'!AH14/' פנסיוני א3'!$AE$17)</f>
        <v>3.8716814159292035E-3</v>
      </c>
      <c r="T12" s="79">
        <f>IF(' פנסיוני א3'!AI14=0,0,' פנסיוני א3'!AI14/' פנסיוני א3'!$AE$17)</f>
        <v>5.5309734513274336E-4</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4.4247787610619468E-3</v>
      </c>
      <c r="F14" s="79">
        <f>IF((' פנסיוני א3'!D16+' פנסיוני א3'!K16+' פנסיוני א3'!E16+' פנסיוני א3'!L16)=0,0,(' פנסיוני א3'!D16+' פנסיוני א3'!K16+' פנסיוני א3'!E16+' פנסיוני א3'!L16)/(' פנסיוני א3'!$C$17+' פנסיוני א3'!$J$17))</f>
        <v>4.4247787610619468E-3</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5.5309734513274336E-4</v>
      </c>
      <c r="R14" s="79">
        <f>IF(' פנסיוני א3'!AF16+' פנסיוני א3'!AG16=0,0,(' פנסיוני א3'!AF16+' פנסיוני א3'!AG16)/' פנסיוני א3'!$AE$17)</f>
        <v>5.5309734513274336E-4</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0.71017699115044242</v>
      </c>
      <c r="G15" s="92">
        <f t="shared" si="0"/>
        <v>0.12278761061946902</v>
      </c>
      <c r="H15" s="92">
        <f t="shared" si="0"/>
        <v>0.13163716814159293</v>
      </c>
      <c r="I15" s="92">
        <f t="shared" si="0"/>
        <v>1.7699115044247787E-2</v>
      </c>
      <c r="J15" s="83">
        <f t="shared" si="0"/>
        <v>1.7699115044247787E-2</v>
      </c>
      <c r="K15" s="78">
        <f t="shared" si="0"/>
        <v>0</v>
      </c>
      <c r="L15" s="92">
        <f t="shared" si="0"/>
        <v>0</v>
      </c>
      <c r="M15" s="92">
        <f t="shared" si="0"/>
        <v>0</v>
      </c>
      <c r="N15" s="92">
        <f t="shared" si="0"/>
        <v>0</v>
      </c>
      <c r="O15" s="92">
        <f t="shared" si="0"/>
        <v>0</v>
      </c>
      <c r="P15" s="83">
        <f t="shared" si="0"/>
        <v>0</v>
      </c>
      <c r="Q15" s="78">
        <f t="shared" si="0"/>
        <v>1</v>
      </c>
      <c r="R15" s="92">
        <f t="shared" si="0"/>
        <v>0.56692477876106195</v>
      </c>
      <c r="S15" s="92">
        <f t="shared" si="0"/>
        <v>0.41205752212389379</v>
      </c>
      <c r="T15" s="92">
        <f t="shared" si="0"/>
        <v>1.8805309734513276E-2</v>
      </c>
      <c r="U15" s="92">
        <f t="shared" si="0"/>
        <v>2.2123893805309734E-3</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0.8214285714285714</v>
      </c>
      <c r="R21" s="79">
        <f>IF(' פנסיוני א3'!AF24+' פנסיוני א3'!AG24=0,0,(' פנסיוני א3'!AF24+' פנסיוני א3'!AG24)/' פנסיוני א3'!$AE$28)</f>
        <v>0.17857142857142858</v>
      </c>
      <c r="S21" s="79">
        <f>IF(' פנסיוני א3'!AH24=0,0,' פנסיוני א3'!AH24/' פנסיוני א3'!$AE$28)</f>
        <v>0.25</v>
      </c>
      <c r="T21" s="79">
        <f>IF(' פנסיוני א3'!AI24=0,0,' פנסיוני א3'!AI24/' פנסיוני א3'!$AE$28)</f>
        <v>0.25</v>
      </c>
      <c r="U21" s="79">
        <f>IF(' פנסיוני א3'!AJ24=0,0,' פנסיוני א3'!AJ24/' פנסיוני א3'!$AE$28)</f>
        <v>3.5714285714285712E-2</v>
      </c>
      <c r="V21" s="81">
        <f>IF(' פנסיוני א3'!AK24=0,0,' פנסיוני א3'!AK24/' פנסיוני א3'!$AE$28)</f>
        <v>0.10714285714285714</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7.1428571428571425E-2</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7.1428571428571425E-2</v>
      </c>
      <c r="V22" s="81">
        <f>IF(' פנסיוני א3'!AK25=0,0,' פנסיוני א3'!AK25/' פנסיוני א3'!$AE$28)</f>
        <v>0</v>
      </c>
    </row>
    <row r="23" spans="1:22" x14ac:dyDescent="0.2">
      <c r="A23" s="202">
        <v>3</v>
      </c>
      <c r="B23" s="468" t="s">
        <v>84</v>
      </c>
      <c r="C23" s="469"/>
      <c r="D23" s="470"/>
      <c r="E23" s="93">
        <f>SUM(F23:J23)</f>
        <v>0.5</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0.5</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0.5</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0.5</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0.10714285714285714</v>
      </c>
      <c r="R24" s="79">
        <f>IF(' פנסיוני א3'!AF27+' פנסיוני א3'!AG27=0,0,(' פנסיוני א3'!AF27+' פנסיוני א3'!AG27)/' פנסיוני א3'!$AE$28)</f>
        <v>3.5714285714285712E-2</v>
      </c>
      <c r="S24" s="79">
        <f>IF(' פנסיוני א3'!AH27=0,0,' פנסיוני א3'!AH27/' פנסיוני א3'!$AE$28)</f>
        <v>0</v>
      </c>
      <c r="T24" s="79">
        <f>IF(' פנסיוני א3'!AI27=0,0,' פנסיוני א3'!AI27/' פנסיוני א3'!$AE$28)</f>
        <v>7.1428571428571425E-2</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1</v>
      </c>
      <c r="F25" s="103">
        <f t="shared" ref="F25:V25" si="2">SUM(F21:F24)</f>
        <v>0</v>
      </c>
      <c r="G25" s="103">
        <f t="shared" si="2"/>
        <v>0.5</v>
      </c>
      <c r="H25" s="103">
        <f t="shared" si="2"/>
        <v>0.5</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0.99999999999999989</v>
      </c>
      <c r="R25" s="103">
        <f t="shared" si="2"/>
        <v>0.2142857142857143</v>
      </c>
      <c r="S25" s="103">
        <f t="shared" si="2"/>
        <v>0.25</v>
      </c>
      <c r="T25" s="103">
        <f t="shared" si="2"/>
        <v>0.3214285714285714</v>
      </c>
      <c r="U25" s="103">
        <f t="shared" si="2"/>
        <v>0.10714285714285714</v>
      </c>
      <c r="V25" s="102">
        <f t="shared" si="2"/>
        <v>0.10714285714285714</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0.27620118010677158</v>
      </c>
      <c r="E10" s="116">
        <f>IF('נספח א4 - G'!$D$14=0,"",'נספח א4 - G'!F14/'נספח א4 - G'!$D$14)</f>
        <v>0.3273391402079236</v>
      </c>
      <c r="F10" s="116">
        <f>IF('נספח א4 - G'!$D$14=0,"",'נספח א4 - G'!G14/'נספח א4 - G'!$D$14)</f>
        <v>0.16633885923012082</v>
      </c>
      <c r="G10" s="116">
        <f>IF('נספח א4 - G'!$D$14=0,"",'נספח א4 - G'!H14/'נספח א4 - G'!$D$14)</f>
        <v>2.8659735880865411E-2</v>
      </c>
      <c r="H10" s="116">
        <f>IF('נספח א4 - G'!$D$14=0,"",'נספח א4 - G'!I14/'נספח א4 - G'!$D$14)</f>
        <v>5.3947738128687833E-2</v>
      </c>
      <c r="I10" s="116">
        <f>IF('נספח א4 - G'!$D$14=0,"",'נספח א4 - G'!J14/'נספח א4 - G'!$D$14)</f>
        <v>0.1475133464456308</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0.32274552756480468</v>
      </c>
      <c r="E10" s="116">
        <f>IF('נספח א4 - P'!$D$14=0,"",'נספח א4 - P'!F14/'נספח א4 - P'!$D$14)</f>
        <v>0.15796519410977242</v>
      </c>
      <c r="F10" s="116">
        <f>IF('נספח א4 - P'!$D$14=0,"",'נספח א4 - P'!G14/'נספח א4 - P'!$D$14)</f>
        <v>8.6527929901423883E-2</v>
      </c>
      <c r="G10" s="116">
        <f>IF('נספח א4 - P'!$D$14=0,"",'נספח א4 - P'!H14/'נספח א4 - P'!$D$14)</f>
        <v>6.048436168918097E-2</v>
      </c>
      <c r="H10" s="116">
        <f>IF('נספח א4 - P'!$D$14=0,"",'נספח א4 - P'!I14/'נספח א4 - P'!$D$14)</f>
        <v>0.10940732627479616</v>
      </c>
      <c r="I10" s="116">
        <f>IF('נספח א4 - P'!$D$14=0,"",'נספח א4 - P'!J14/'נספח א4 - P'!$D$14)</f>
        <v>0.26286966046002191</v>
      </c>
      <c r="J10" s="116">
        <f>IF('נספח א4 - P'!$K$14=0,"",'נספח א4 - P'!K14/'נספח א4 - P'!$K$14)</f>
        <v>1</v>
      </c>
      <c r="K10" s="116">
        <f>IF('נספח א4 - P'!$K$14=0,"",'נספח א4 - P'!L14/'נספח א4 - P'!$K$14)</f>
        <v>0.76760284810126578</v>
      </c>
      <c r="L10" s="116">
        <f>IF('נספח א4 - P'!$K$14=0,"",'נספח א4 - P'!M14/'נספח א4 - P'!$K$14)</f>
        <v>0.19580696202531644</v>
      </c>
      <c r="M10" s="116">
        <f>IF('נספח א4 - P'!$K$14=0,"",'נספח א4 - P'!N14/'נספח א4 - P'!$K$14)</f>
        <v>0</v>
      </c>
      <c r="N10" s="116">
        <f>IF('נספח א4 - P'!$K$14=0,"",'נספח א4 - P'!O14/'נספח א4 - P'!$K$14)</f>
        <v>7.3180379746835443E-3</v>
      </c>
      <c r="O10" s="116">
        <f>IF('נספח א4 - P'!$K$14=0,"",'נספח א4 - P'!P14/'נספח א4 - P'!$K$14)</f>
        <v>1.6218354430379747E-2</v>
      </c>
      <c r="P10" s="117">
        <f>IF('נספח א4 - P'!$K$14=0,"",'נספח א4 - P'!Q14/'נספח א4 - P'!$K$14)</f>
        <v>1.3053797468354431E-2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terms/"/>
    <ds:schemaRef ds:uri="http://www.w3.org/XML/1998/namespace"/>
    <ds:schemaRef ds:uri="http://schemas.microsoft.com/office/2006/documentManagement/types"/>
    <ds:schemaRef ds:uri="http://schemas.microsoft.com/office/infopath/2007/PartnerControls"/>
    <ds:schemaRef ds:uri="http://schemas.microsoft.com/sharepoint/v3"/>
    <ds:schemaRef ds:uri="http://purl.org/dc/elements/1.1/"/>
    <ds:schemaRef ds:uri="a46656d4-8850-49b3-aebd-68bd05f7f43d"/>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